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 name="【参考】見積書採用判定シート" sheetId="4" r:id="rId4"/>
  </sheets>
  <externalReferences>
    <externalReference r:id="rId5"/>
    <externalReference r:id="rId6"/>
    <externalReference r:id="rId7"/>
  </externalReferences>
  <definedNames>
    <definedName name="_xlnm.Print_Area" localSheetId="3">【参考】見積書採用判定シート!$A$1:$O$87</definedName>
    <definedName name="_xlnm.Print_Area" localSheetId="0">補助対象経費等確認・計算書!$A$1:$I$116</definedName>
    <definedName name="_xlnm.Print_Titles" localSheetId="3">【参考】見積書採用判定シート!$1:$2</definedName>
    <definedName name="_xlnm.Print_Titles" localSheetId="0">補助対象経費等確認・計算書!$1:$2</definedName>
    <definedName name="ああ" localSheetId="3">#REF!</definedName>
    <definedName name="ああ">#REF!</definedName>
    <definedName name="モジュール" localSheetId="3">#REF!</definedName>
    <definedName name="モジュール">#REF!</definedName>
    <definedName name="モジュール種類" localSheetId="3">#REF!</definedName>
    <definedName name="モジュール種類">#REF!</definedName>
    <definedName name="一面" localSheetId="3">#REF!</definedName>
    <definedName name="一面">#REF!</definedName>
    <definedName name="屋根形状" localSheetId="3">#REF!</definedName>
    <definedName name="屋根形状">#REF!</definedName>
    <definedName name="屋根材" localSheetId="3">#REF!</definedName>
    <definedName name="屋根材">#REF!</definedName>
    <definedName name="屋根材２" localSheetId="3">#REF!</definedName>
    <definedName name="屋根材２">#REF!</definedName>
    <definedName name="三面" localSheetId="3">#REF!</definedName>
    <definedName name="三面">#REF!</definedName>
    <definedName name="設置面" localSheetId="3">#REF!</definedName>
    <definedName name="設置面">#REF!</definedName>
    <definedName name="設備">[1]データ参照シート!$B$2</definedName>
    <definedName name="大分類" localSheetId="3">[2]基本情報!#REF!</definedName>
    <definedName name="大分類">[2]基本情報!#REF!</definedName>
    <definedName name="提案区分" localSheetId="3">#REF!</definedName>
    <definedName name="提案区分">#REF!</definedName>
    <definedName name="二面" localSheetId="3">#REF!</definedName>
    <definedName name="二面">#REF!</definedName>
    <definedName name="年間予測発電量基準地点" localSheetId="3">#REF!</definedName>
    <definedName name="年間予測発電量基準地点">#REF!</definedName>
    <definedName name="別1その2">[3]対策!$K$2:$K$9</definedName>
    <definedName name="方角" localSheetId="3">#REF!</definedName>
    <definedName name="方角">#REF!</definedName>
  </definedNames>
  <calcPr calcId="145621"/>
</workbook>
</file>

<file path=xl/calcChain.xml><?xml version="1.0" encoding="utf-8"?>
<calcChain xmlns="http://schemas.openxmlformats.org/spreadsheetml/2006/main">
  <c r="X2" i="1" l="1"/>
  <c r="J7" i="1" l="1"/>
  <c r="X7" i="1"/>
  <c r="C8" i="4" l="1"/>
  <c r="C7" i="4"/>
  <c r="M71" i="4" l="1"/>
  <c r="M72" i="4" s="1"/>
  <c r="M83" i="4" s="1"/>
  <c r="M69" i="4"/>
  <c r="M62" i="4"/>
  <c r="M63" i="4" s="1"/>
  <c r="M82" i="4" s="1"/>
  <c r="M60" i="4"/>
  <c r="M58" i="4"/>
  <c r="M52" i="4"/>
  <c r="M53" i="4" s="1"/>
  <c r="M81" i="4" s="1"/>
  <c r="M50" i="4"/>
  <c r="M44" i="4"/>
  <c r="M45" i="4" s="1"/>
  <c r="M80" i="4" s="1"/>
  <c r="M42" i="4"/>
  <c r="M35" i="4"/>
  <c r="M36" i="4" s="1"/>
  <c r="M33" i="4"/>
  <c r="M30" i="4"/>
  <c r="M37" i="4" s="1"/>
  <c r="M79" i="4" s="1"/>
  <c r="M24" i="4"/>
  <c r="M22" i="4"/>
  <c r="M19" i="4"/>
  <c r="E71" i="4"/>
  <c r="E72" i="4" s="1"/>
  <c r="E62" i="4"/>
  <c r="E63" i="4" s="1"/>
  <c r="E82" i="4" s="1"/>
  <c r="E58" i="4"/>
  <c r="E52" i="4"/>
  <c r="E53" i="4" s="1"/>
  <c r="E44" i="4"/>
  <c r="E45" i="4" s="1"/>
  <c r="E69" i="4"/>
  <c r="E60" i="4"/>
  <c r="E50" i="4"/>
  <c r="E42" i="4"/>
  <c r="E35" i="4"/>
  <c r="E36" i="4" s="1"/>
  <c r="E33" i="4"/>
  <c r="E30" i="4"/>
  <c r="E24" i="4"/>
  <c r="E22" i="4"/>
  <c r="E19" i="4"/>
  <c r="E25" i="4" s="1"/>
  <c r="E26" i="4" s="1"/>
  <c r="F38" i="1"/>
  <c r="E40" i="1"/>
  <c r="X5" i="1"/>
  <c r="M25" i="4" l="1"/>
  <c r="M26" i="4" s="1"/>
  <c r="M78" i="4" s="1"/>
  <c r="M86" i="4" s="1"/>
  <c r="E37" i="4"/>
  <c r="E79" i="4" s="1"/>
  <c r="E83" i="4"/>
  <c r="E78" i="4"/>
  <c r="E86" i="4" s="1"/>
  <c r="E77" i="4"/>
  <c r="H30" i="1"/>
  <c r="J23" i="1"/>
  <c r="M77" i="4" l="1"/>
  <c r="M85" i="4" s="1"/>
  <c r="E39" i="1"/>
  <c r="J31" i="1"/>
  <c r="H103" i="1"/>
  <c r="J103" i="1"/>
  <c r="X10" i="1"/>
  <c r="M84" i="4" l="1"/>
  <c r="D8" i="4" s="1"/>
  <c r="E80" i="4"/>
  <c r="E81" i="4"/>
  <c r="C48" i="1"/>
  <c r="J98" i="1"/>
  <c r="J85" i="1"/>
  <c r="E84" i="4" l="1"/>
  <c r="D7" i="4" s="1"/>
  <c r="C11" i="4" s="1"/>
  <c r="E85" i="4"/>
  <c r="J79" i="1"/>
  <c r="F36" i="1" l="1"/>
  <c r="J92" i="1" l="1"/>
  <c r="J78" i="1" l="1"/>
  <c r="E81" i="1" l="1"/>
  <c r="X8" i="1" l="1"/>
  <c r="E96" i="1" l="1"/>
  <c r="E83" i="1"/>
  <c r="E68" i="1"/>
  <c r="E57" i="1"/>
  <c r="E30" i="1"/>
  <c r="E45" i="1"/>
  <c r="E43" i="1"/>
  <c r="E28" i="1"/>
  <c r="E47" i="1" l="1"/>
  <c r="H48" i="1" s="1"/>
  <c r="J90" i="1"/>
  <c r="J91" i="1"/>
  <c r="J93" i="1"/>
  <c r="J94" i="1"/>
  <c r="J95" i="1"/>
  <c r="J89" i="1"/>
  <c r="J48" i="1" l="1"/>
  <c r="F48" i="1"/>
  <c r="J74" i="1"/>
  <c r="J75" i="1"/>
  <c r="J76" i="1"/>
  <c r="J77" i="1"/>
  <c r="J80" i="1"/>
  <c r="J82" i="1"/>
  <c r="Z135" i="1" l="1"/>
  <c r="Z134" i="1"/>
  <c r="Z133" i="1"/>
  <c r="Z132" i="1"/>
  <c r="Z131" i="1"/>
  <c r="Z130" i="1"/>
  <c r="Z129" i="1"/>
  <c r="Z128" i="1"/>
  <c r="Z127" i="1"/>
  <c r="Z126" i="1"/>
  <c r="Z125" i="1"/>
  <c r="Z124" i="1"/>
  <c r="Z123" i="1"/>
  <c r="Z122" i="1"/>
  <c r="Z121" i="1"/>
  <c r="J70" i="1"/>
  <c r="J67" i="1"/>
  <c r="J66" i="1"/>
  <c r="J65" i="1"/>
  <c r="J63" i="1"/>
  <c r="J60" i="1"/>
  <c r="Y55" i="1"/>
  <c r="J52" i="1"/>
  <c r="J46" i="1"/>
  <c r="J40" i="1"/>
  <c r="J37" i="1"/>
  <c r="J38" i="1"/>
  <c r="J35" i="1"/>
  <c r="J30" i="1"/>
  <c r="J25" i="1"/>
  <c r="E25" i="1"/>
  <c r="J22" i="1"/>
  <c r="J21" i="1"/>
  <c r="X15" i="1"/>
  <c r="J15" i="1"/>
  <c r="X14" i="1"/>
  <c r="J14" i="1"/>
  <c r="X13" i="1"/>
  <c r="J13" i="1"/>
  <c r="X6" i="1"/>
  <c r="X4" i="1"/>
  <c r="H1" i="1"/>
  <c r="G1" i="1"/>
  <c r="H15" i="1" l="1"/>
  <c r="Z53" i="1"/>
  <c r="Y54" i="1"/>
  <c r="Z54" i="1"/>
  <c r="Y53" i="1"/>
  <c r="E46" i="1"/>
  <c r="H70" i="1" l="1"/>
  <c r="E70" i="1" s="1"/>
  <c r="E71" i="1" s="1"/>
  <c r="E110" i="1" s="1"/>
  <c r="H59" i="1"/>
  <c r="E59" i="1" s="1"/>
  <c r="J16" i="1"/>
  <c r="Y56" i="1"/>
  <c r="E31" i="1" l="1"/>
  <c r="E32" i="1" s="1"/>
  <c r="E107" i="1" s="1"/>
  <c r="E115" i="1" s="1"/>
  <c r="J49" i="1"/>
  <c r="E60" i="1"/>
  <c r="E109" i="1" s="1"/>
  <c r="H85" i="1"/>
  <c r="J54" i="1"/>
  <c r="J53" i="1"/>
  <c r="E49" i="1" l="1"/>
  <c r="E108" i="1" s="1"/>
  <c r="E106" i="1"/>
  <c r="H98" i="1"/>
  <c r="E85" i="1"/>
  <c r="E86" i="1" l="1"/>
  <c r="E111" i="1" s="1"/>
  <c r="E98" i="1"/>
  <c r="E99" i="1" s="1"/>
  <c r="E112" i="1" l="1"/>
  <c r="E113" i="1" s="1"/>
  <c r="E114" i="1" l="1"/>
</calcChain>
</file>

<file path=xl/comments1.xml><?xml version="1.0" encoding="utf-8"?>
<comments xmlns="http://schemas.openxmlformats.org/spreadsheetml/2006/main">
  <authors>
    <author>作成者</author>
  </authors>
  <commentList>
    <comment ref="E53"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4"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<sst xmlns="http://schemas.openxmlformats.org/spreadsheetml/2006/main" count="989" uniqueCount="255">
  <si>
    <t>補助対象経費等確認・計算書</t>
    <rPh sb="0" eb="2">
      <t>ホジョ</t>
    </rPh>
    <rPh sb="2" eb="4">
      <t>タイショウ</t>
    </rPh>
    <rPh sb="4" eb="6">
      <t>ケイヒ</t>
    </rPh>
    <rPh sb="6" eb="7">
      <t>トウ</t>
    </rPh>
    <rPh sb="7" eb="9">
      <t>カクニン</t>
    </rPh>
    <rPh sb="10" eb="13">
      <t>ケイサンショ</t>
    </rPh>
    <phoneticPr fontId="3"/>
  </si>
  <si>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</si>
  <si>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</si>
  <si>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</si>
  <si>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</si>
  <si>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</si>
  <si>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</si>
  <si>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</si>
  <si>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</si>
  <si>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</si>
  <si>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</si>
  <si>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</si>
  <si>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</si>
  <si>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</si>
  <si>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</si>
  <si>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</si>
  <si>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</si>
  <si>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</si>
  <si>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</si>
  <si>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</si>
  <si>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</si>
  <si>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</si>
  <si>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</si>
  <si>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</si>
  <si>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</si>
  <si>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</si>
  <si>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</si>
  <si>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</si>
  <si>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</si>
  <si>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</si>
  <si>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</si>
  <si>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</si>
  <si>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</si>
  <si>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</si>
  <si>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</si>
  <si>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</si>
  <si>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</si>
  <si>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</si>
  <si>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B</t>
    <phoneticPr fontId="11"/>
  </si>
  <si>
    <t>C</t>
    <phoneticPr fontId="11"/>
  </si>
  <si>
    <t>D</t>
    <phoneticPr fontId="11"/>
  </si>
  <si>
    <t>E</t>
    <phoneticPr fontId="11"/>
  </si>
  <si>
    <t>種類</t>
  </si>
  <si>
    <t>公称電圧（V)</t>
  </si>
  <si>
    <t>火災予防条例の規制を受ける4800Ah・セル以上の蓄電池の容量（ｋWｈ）</t>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</si>
  <si>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</si>
  <si>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</si>
  <si>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</si>
  <si>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</si>
  <si>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</si>
  <si>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</si>
  <si>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</si>
  <si>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</si>
  <si>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ニッケル水素蓄電池</t>
  </si>
  <si>
    <t>蓄電池の補助対象費用（税抜）</t>
    <rPh sb="0" eb="3">
      <t>チクデンチ</t>
    </rPh>
    <rPh sb="4" eb="6">
      <t>ホジョ</t>
    </rPh>
    <rPh sb="6" eb="8">
      <t>タイショウ</t>
    </rPh>
    <rPh sb="8" eb="10">
      <t>ヒヨウ</t>
    </rPh>
    <rPh sb="11" eb="13">
      <t>ゼイヌキ</t>
    </rPh>
    <phoneticPr fontId="22"/>
  </si>
  <si>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</si>
  <si>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</si>
  <si>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</si>
  <si>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</si>
  <si>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</si>
  <si>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</si>
  <si>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</si>
  <si>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</si>
  <si>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</si>
  <si>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</si>
  <si>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</si>
  <si>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</si>
  <si>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</si>
  <si>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</si>
  <si>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</si>
  <si>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</si>
  <si>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</si>
  <si>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</si>
  <si>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</si>
  <si>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</si>
  <si>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</si>
  <si>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</si>
  <si>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</si>
  <si>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</si>
  <si>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</si>
  <si>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コージェネレーションシステムの補助交付申請額
（補助対象費用の２分の１(千円未満切り捨て)、50万円上限）</t>
    <rPh sb="15" eb="17">
      <t>ホジョ</t>
    </rPh>
    <rPh sb="17" eb="19">
      <t>コウフ</t>
    </rPh>
    <rPh sb="19" eb="21">
      <t>シンセイ</t>
    </rPh>
    <rPh sb="21" eb="22">
      <t>ガク</t>
    </rPh>
    <rPh sb="24" eb="26">
      <t>ホジョ</t>
    </rPh>
    <rPh sb="26" eb="28">
      <t>タイショウ</t>
    </rPh>
    <rPh sb="28" eb="30">
      <t>ヒヨウ</t>
    </rPh>
    <rPh sb="32" eb="33">
      <t>ブン</t>
    </rPh>
    <rPh sb="48" eb="50">
      <t>マンエン</t>
    </rPh>
    <rPh sb="50" eb="52">
      <t>ジョウゲン</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</si>
  <si>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</si>
  <si>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</si>
  <si>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</si>
  <si>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</si>
  <si>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</si>
  <si>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</si>
  <si>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</si>
  <si>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４　補助金交付申請額合計</t>
    <rPh sb="2" eb="4">
      <t>ホジョ</t>
    </rPh>
    <rPh sb="5" eb="7">
      <t>コウフ</t>
    </rPh>
    <rPh sb="7" eb="9">
      <t>シンセイ</t>
    </rPh>
    <rPh sb="9" eb="10">
      <t>ガク</t>
    </rPh>
    <rPh sb="10" eb="12">
      <t>ゴウケイ</t>
    </rPh>
    <phoneticPr fontId="11"/>
  </si>
  <si>
    <t>蓄電池の補助交付申請額（再掲）</t>
    <rPh sb="0" eb="3">
      <t>チクデンチ</t>
    </rPh>
    <rPh sb="4" eb="6">
      <t>ホジョ</t>
    </rPh>
    <rPh sb="6" eb="8">
      <t>コウフ</t>
    </rPh>
    <rPh sb="8" eb="10">
      <t>シンセイ</t>
    </rPh>
    <rPh sb="10" eb="11">
      <t>ガク</t>
    </rPh>
    <rPh sb="12" eb="14">
      <t>サイケイ</t>
    </rPh>
    <phoneticPr fontId="11"/>
  </si>
  <si>
    <t>高効率給湯器の補助交付申請額（再掲）</t>
    <rPh sb="0" eb="6">
      <t>コウコウリツキュウトウキ</t>
    </rPh>
    <rPh sb="7" eb="9">
      <t>ホジョ</t>
    </rPh>
    <rPh sb="9" eb="11">
      <t>コウフ</t>
    </rPh>
    <rPh sb="11" eb="13">
      <t>シンセイ</t>
    </rPh>
    <rPh sb="13" eb="14">
      <t>ガク</t>
    </rPh>
    <rPh sb="15" eb="17">
      <t>サイケイ</t>
    </rPh>
    <phoneticPr fontId="11"/>
  </si>
  <si>
    <t>コージェネレーションシステムの補助交付申請額（再掲）</t>
    <rPh sb="15" eb="17">
      <t>ホジョ</t>
    </rPh>
    <rPh sb="17" eb="19">
      <t>コウフ</t>
    </rPh>
    <rPh sb="19" eb="21">
      <t>シンセイ</t>
    </rPh>
    <rPh sb="21" eb="22">
      <t>ガク</t>
    </rPh>
    <rPh sb="23" eb="25">
      <t>サイケイ</t>
    </rPh>
    <phoneticPr fontId="11"/>
  </si>
  <si>
    <t>補助交付申請額合計</t>
    <rPh sb="0" eb="2">
      <t>ホジョ</t>
    </rPh>
    <rPh sb="2" eb="4">
      <t>コウフ</t>
    </rPh>
    <rPh sb="4" eb="6">
      <t>シンセイ</t>
    </rPh>
    <rPh sb="6" eb="7">
      <t>ガク</t>
    </rPh>
    <rPh sb="7" eb="9">
      <t>ゴウケイ</t>
    </rPh>
    <phoneticPr fontId="11"/>
  </si>
  <si>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</si>
  <si>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</si>
  <si>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</si>
  <si>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</si>
  <si>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</si>
  <si>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</si>
  <si>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</si>
  <si>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</si>
  <si>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</si>
  <si>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</si>
  <si>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</si>
  <si>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</si>
  <si>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</si>
  <si>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</si>
  <si>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</si>
  <si>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</si>
  <si>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</si>
  <si>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</si>
  <si>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</si>
  <si>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</si>
  <si>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</si>
  <si>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</si>
  <si>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</si>
  <si>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</si>
  <si>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</si>
  <si>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</si>
  <si>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</si>
  <si>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</si>
  <si>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</si>
  <si>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</si>
  <si>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</si>
  <si>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</si>
  <si>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</si>
  <si>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</si>
  <si>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</si>
  <si>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</si>
  <si>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</si>
  <si>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</si>
  <si>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</si>
  <si>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</si>
  <si>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</si>
  <si>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</si>
  <si>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</si>
  <si>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</si>
  <si>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</si>
  <si>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</si>
  <si>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</si>
  <si>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</si>
  <si>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</si>
  <si>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</si>
  <si>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</si>
  <si>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</si>
  <si>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</si>
  <si>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</si>
  <si>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</si>
  <si>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</si>
  <si>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車載型蓄電池（電気自動車）の補助交付申請額
（蓄電容量×1/2×40千円（CEV補助金の「銘柄ごとの補助金交付額」上限）（85万円上限）(千円未満切り捨て)</t>
    <rPh sb="14" eb="16">
      <t>ホジョ</t>
    </rPh>
    <rPh sb="16" eb="18">
      <t>コウフ</t>
    </rPh>
    <rPh sb="18" eb="20">
      <t>シンセイ</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</si>
  <si>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車載型蓄電池（電気自動車）の補助交付申請額（再掲）</t>
    <rPh sb="14" eb="16">
      <t>ホジョ</t>
    </rPh>
    <rPh sb="16" eb="18">
      <t>コウフ</t>
    </rPh>
    <rPh sb="18" eb="20">
      <t>シンセイ</t>
    </rPh>
    <rPh sb="20" eb="21">
      <t>ガク</t>
    </rPh>
    <rPh sb="22" eb="24">
      <t>サイケイ</t>
    </rPh>
    <phoneticPr fontId="11"/>
  </si>
  <si>
    <t>充放電設備の補助交付申請額（再掲）</t>
    <rPh sb="6" eb="8">
      <t>ホジョ</t>
    </rPh>
    <rPh sb="8" eb="10">
      <t>コウフ</t>
    </rPh>
    <rPh sb="10" eb="12">
      <t>シンセイ</t>
    </rPh>
    <rPh sb="12" eb="13">
      <t>ガク</t>
    </rPh>
    <rPh sb="14" eb="16">
      <t>サイケイ</t>
    </rPh>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</si>
  <si>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</si>
  <si>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</si>
  <si>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</si>
  <si>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</si>
  <si>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</si>
  <si>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</si>
  <si>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</si>
  <si>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充放電設備の補助交付申請額
（「設備費」+「工事費」）×1/2(千円未満切り捨て)（150万円上限）</t>
    <rPh sb="6" eb="8">
      <t>ホジョ</t>
    </rPh>
    <rPh sb="8" eb="10">
      <t>コウフ</t>
    </rPh>
    <rPh sb="10" eb="12">
      <t>シンセイ</t>
    </rPh>
    <rPh sb="12" eb="13">
      <t>ガク</t>
    </rPh>
    <rPh sb="16" eb="19">
      <t>セツビヒ</t>
    </rPh>
    <rPh sb="22" eb="25">
      <t>コウジヒ</t>
    </rPh>
    <phoneticPr fontId="11"/>
  </si>
  <si>
    <t>高効率給湯器の補助交付申請額
（補助対象費用の２分の１(千円未満切り捨て)、20万円上限）</t>
    <rPh sb="0" eb="3">
      <t>コウコウリツ</t>
    </rPh>
    <rPh sb="3" eb="6">
      <t>キュウトウキ</t>
    </rPh>
    <rPh sb="7" eb="9">
      <t>ホジョ</t>
    </rPh>
    <rPh sb="9" eb="11">
      <t>コウフ</t>
    </rPh>
    <rPh sb="11" eb="13">
      <t>シンセイ</t>
    </rPh>
    <rPh sb="13" eb="14">
      <t>ガク</t>
    </rPh>
    <rPh sb="16" eb="18">
      <t>ホジョ</t>
    </rPh>
    <rPh sb="18" eb="20">
      <t>タイショウ</t>
    </rPh>
    <rPh sb="20" eb="22">
      <t>ヒヨウ</t>
    </rPh>
    <rPh sb="24" eb="25">
      <t>ブン</t>
    </rPh>
    <rPh sb="40" eb="42">
      <t>マンエン</t>
    </rPh>
    <rPh sb="42" eb="44">
      <t>ジョウゲン</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</si>
  <si>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</si>
  <si>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</si>
  <si>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</si>
  <si>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</si>
  <si>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</si>
  <si>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</si>
  <si>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</si>
  <si>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</si>
  <si>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</si>
  <si>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</si>
  <si>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</si>
  <si>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</si>
  <si>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</si>
  <si>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</si>
  <si>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</si>
  <si>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</si>
  <si>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</si>
  <si>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</si>
  <si>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</si>
  <si>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</si>
  <si>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</si>
  <si>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</si>
  <si>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</si>
  <si>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</si>
  <si>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採用した見積書を発行した事業者（発注予定の事業者）</t>
    <rPh sb="0" eb="2">
      <t>サイヨウ</t>
    </rPh>
    <rPh sb="4" eb="7">
      <t>ミツモリショ</t>
    </rPh>
    <rPh sb="8" eb="10">
      <t>ハッコウ</t>
    </rPh>
    <rPh sb="12" eb="15">
      <t>ジギョウシャ</t>
    </rPh>
    <rPh sb="16" eb="18">
      <t>ハッチュウ</t>
    </rPh>
    <rPh sb="18" eb="20">
      <t>ヨテイ</t>
    </rPh>
    <rPh sb="21" eb="24">
      <t>ジギョウシャ</t>
    </rPh>
    <phoneticPr fontId="11"/>
  </si>
  <si>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</si>
  <si>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</si>
  <si>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</si>
  <si>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</si>
  <si>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</si>
  <si>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</si>
  <si>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</si>
  <si>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</si>
  <si>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</si>
  <si>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</si>
  <si>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</si>
  <si>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</si>
  <si>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</si>
  <si>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</si>
  <si>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</si>
  <si>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</si>
  <si>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</si>
  <si>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</si>
  <si>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</si>
  <si>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</si>
  <si>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</si>
  <si>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</si>
  <si>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</si>
  <si>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千円</t>
    <rPh sb="0" eb="2">
      <t>センエン</t>
    </rPh>
    <phoneticPr fontId="3"/>
  </si>
  <si>
    <t>(交付申請時に提出）</t>
    <rPh sb="1" eb="3">
      <t>コウフ</t>
    </rPh>
    <rPh sb="3" eb="5">
      <t>シンセイ</t>
    </rPh>
    <rPh sb="5" eb="6">
      <t>ジ</t>
    </rPh>
    <rPh sb="7" eb="9">
      <t>テイシュツ</t>
    </rPh>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</si>
  <si>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</si>
  <si>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r>
      <t>太陽光発電設備の補助交付申請額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シンセイ</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</si>
  <si>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太陽光発電設備の補助交付申請額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</si>
  <si>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L</t>
    <phoneticPr fontId="11"/>
  </si>
  <si>
    <t>太陽光発電設備の補助交付申請額（ベース分）（再掲）</t>
    <rPh sb="0" eb="3">
      <t>タイヨウコウ</t>
    </rPh>
    <rPh sb="3" eb="5">
      <t>ハツデン</t>
    </rPh>
    <rPh sb="5" eb="7">
      <t>セツビ</t>
    </rPh>
    <rPh sb="8" eb="10">
      <t>ホジョ</t>
    </rPh>
    <rPh sb="10" eb="12">
      <t>コウフ</t>
    </rPh>
    <rPh sb="12" eb="14">
      <t>シンセイ</t>
    </rPh>
    <rPh sb="14" eb="15">
      <t>ガク</t>
    </rPh>
    <rPh sb="19" eb="20">
      <t>ブン</t>
    </rPh>
    <rPh sb="22" eb="24">
      <t>サイケイ</t>
    </rPh>
    <phoneticPr fontId="11"/>
  </si>
  <si>
    <t>H</t>
    <phoneticPr fontId="11"/>
  </si>
  <si>
    <t>I</t>
    <phoneticPr fontId="11"/>
  </si>
  <si>
    <t>円（A+C+D+E+F+G)</t>
    <rPh sb="0" eb="1">
      <t>エン</t>
    </rPh>
    <phoneticPr fontId="22"/>
  </si>
  <si>
    <t>円（B)</t>
    <rPh sb="0" eb="1">
      <t>エン</t>
    </rPh>
    <phoneticPr fontId="22"/>
  </si>
  <si>
    <t>太陽光発電設備の補助交付申請額（協調補助分）（再掲）</t>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23" eb="25">
      <t>サイケイ</t>
    </rPh>
    <phoneticPr fontId="11"/>
  </si>
  <si>
    <t>円（A+B+C+D+E+F+G)</t>
    <rPh sb="0" eb="1">
      <t>エン</t>
    </rPh>
    <phoneticPr fontId="22"/>
  </si>
  <si>
    <t>　（内訳）補助交付申請額合計　ベース分</t>
    <rPh sb="2" eb="4">
      <t>ウチワケ</t>
    </rPh>
    <rPh sb="5" eb="7">
      <t>ホジョ</t>
    </rPh>
    <rPh sb="7" eb="9">
      <t>コウフ</t>
    </rPh>
    <rPh sb="9" eb="11">
      <t>シンセイ</t>
    </rPh>
    <rPh sb="11" eb="12">
      <t>ガク</t>
    </rPh>
    <rPh sb="12" eb="14">
      <t>ゴウケイ</t>
    </rPh>
    <rPh sb="18" eb="19">
      <t>ブン</t>
    </rPh>
    <phoneticPr fontId="11"/>
  </si>
  <si>
    <t>　（内訳）補助交付申請額合計　協調補助分</t>
    <rPh sb="2" eb="4">
      <t>ウチワケ</t>
    </rPh>
    <rPh sb="5" eb="7">
      <t>ホジョ</t>
    </rPh>
    <rPh sb="7" eb="9">
      <t>コウフ</t>
    </rPh>
    <rPh sb="9" eb="11">
      <t>シンセイ</t>
    </rPh>
    <rPh sb="11" eb="12">
      <t>ガク</t>
    </rPh>
    <rPh sb="12" eb="14">
      <t>ゴウケイ</t>
    </rPh>
    <rPh sb="15" eb="17">
      <t>キョウチョウ</t>
    </rPh>
    <rPh sb="17" eb="19">
      <t>ホジョ</t>
    </rPh>
    <rPh sb="19" eb="20">
      <t>ブン</t>
    </rPh>
    <phoneticPr fontId="11"/>
  </si>
  <si>
    <t>J</t>
    <phoneticPr fontId="11"/>
  </si>
  <si>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</si>
  <si>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</si>
  <si>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</si>
  <si>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円（F,L,75万円のうち最小のもの）</t>
    <rPh sb="0" eb="1">
      <t>エン</t>
    </rPh>
    <rPh sb="8" eb="10">
      <t>マンエン</t>
    </rPh>
    <rPh sb="13" eb="15">
      <t>サイショウ</t>
    </rPh>
    <phoneticPr fontId="22"/>
  </si>
  <si>
    <t>交付申請にあたってそれぞれの見積書に基づいて算出した補助金の申請額が異なる場合は、低い方の額となる見積書を採用したか</t>
    <phoneticPr fontId="3"/>
  </si>
  <si>
    <t>該当する場合に記入</t>
    <rPh sb="0" eb="2">
      <t>ガイトウ</t>
    </rPh>
    <rPh sb="4" eb="6">
      <t>バアイ</t>
    </rPh>
    <rPh sb="7" eb="9">
      <t>キニュウ</t>
    </rPh>
    <phoneticPr fontId="3"/>
  </si>
  <si>
    <t>フリガナ
申請者氏名</t>
    <rPh sb="5" eb="10">
      <t>フリガナ</t>
    </rPh>
    <phoneticPr fontId="11"/>
  </si>
  <si>
    <t>蓄電池の蓄電容量(kWh)
（単電池の定格容量、単電池の公称電圧および使用する単電池の数の積で算出される蓄電池部の値）
（小数点第２位以下を切り捨て）</t>
    <rPh sb="0" eb="3">
      <t>チクデンチ</t>
    </rPh>
    <rPh sb="4" eb="6">
      <t>チクデン</t>
    </rPh>
    <rPh sb="6" eb="8">
      <t>ヨウリョウ</t>
    </rPh>
    <phoneticPr fontId="22"/>
  </si>
  <si>
    <t>上記型番が一般社団法人環境共創イニシアチブ（SⅡ）により機器登録されているか（「家庭用」の場合のみ入力）https://zehweb.jp/registration/battery/</t>
    <rPh sb="40" eb="43">
      <t>カテイヨウ</t>
    </rPh>
    <rPh sb="45" eb="47">
      <t>バアイ</t>
    </rPh>
    <rPh sb="49" eb="51">
      <t>ニュウリョク</t>
    </rPh>
    <phoneticPr fontId="22"/>
  </si>
  <si>
    <t>https://zehweb.jp/registration/battery/</t>
    <phoneticPr fontId="11"/>
  </si>
  <si>
    <t>←蓄電システム登録済製品一覧検索（一般社団法人環境共創イニシアチブ（SⅡ））</t>
    <phoneticPr fontId="11"/>
  </si>
  <si>
    <t>B</t>
    <phoneticPr fontId="11"/>
  </si>
  <si>
    <t>C</t>
    <phoneticPr fontId="11"/>
  </si>
  <si>
    <t>D</t>
    <phoneticPr fontId="11"/>
  </si>
  <si>
    <t>円(D*51,000)</t>
    <rPh sb="0" eb="1">
      <t>エン</t>
    </rPh>
    <phoneticPr fontId="11"/>
  </si>
  <si>
    <t>【参考】見積書採用判定シート</t>
    <rPh sb="1" eb="3">
      <t>サンコウ</t>
    </rPh>
    <rPh sb="4" eb="7">
      <t>ミツモリショ</t>
    </rPh>
    <rPh sb="7" eb="9">
      <t>サイヨウ</t>
    </rPh>
    <rPh sb="9" eb="11">
      <t>ハンテイ</t>
    </rPh>
    <phoneticPr fontId="3"/>
  </si>
  <si>
    <t xml:space="preserve">kWh </t>
    <phoneticPr fontId="3"/>
  </si>
  <si>
    <t>※２枚の見積書から採用しなければならない見積書はどちらか、あるいはどちらを採用しても良いかを判定するためのシートです。提出は不要です。</t>
    <rPh sb="2" eb="3">
      <t>マイ</t>
    </rPh>
    <rPh sb="4" eb="6">
      <t>ミツモリ</t>
    </rPh>
    <rPh sb="6" eb="7">
      <t>ショ</t>
    </rPh>
    <rPh sb="9" eb="11">
      <t>サイヨウ</t>
    </rPh>
    <rPh sb="20" eb="23">
      <t>ミツモリショ</t>
    </rPh>
    <rPh sb="37" eb="39">
      <t>サイヨウ</t>
    </rPh>
    <rPh sb="42" eb="43">
      <t>ヨ</t>
    </rPh>
    <rPh sb="46" eb="48">
      <t>ハンテイ</t>
    </rPh>
    <rPh sb="59" eb="61">
      <t>テイシュツ</t>
    </rPh>
    <rPh sb="62" eb="64">
      <t>フヨウ</t>
    </rPh>
    <phoneticPr fontId="3"/>
  </si>
  <si>
    <t>※申請できる補助メニューの組み合わせやその他要件については別シート「補助対象経費等確認・計算書」で確認してください。</t>
    <rPh sb="1" eb="3">
      <t>シンセイ</t>
    </rPh>
    <rPh sb="6" eb="8">
      <t>ホジョ</t>
    </rPh>
    <rPh sb="13" eb="14">
      <t>ク</t>
    </rPh>
    <rPh sb="15" eb="16">
      <t>ア</t>
    </rPh>
    <rPh sb="21" eb="22">
      <t>タ</t>
    </rPh>
    <rPh sb="22" eb="24">
      <t>ヨウケン</t>
    </rPh>
    <rPh sb="29" eb="30">
      <t>ベツ</t>
    </rPh>
    <rPh sb="34" eb="36">
      <t>ホジョ</t>
    </rPh>
    <rPh sb="36" eb="38">
      <t>タイショウ</t>
    </rPh>
    <rPh sb="38" eb="40">
      <t>ケイヒ</t>
    </rPh>
    <rPh sb="40" eb="41">
      <t>トウ</t>
    </rPh>
    <rPh sb="41" eb="43">
      <t>カクニン</t>
    </rPh>
    <rPh sb="44" eb="47">
      <t>ケイサンショ</t>
    </rPh>
    <rPh sb="49" eb="51">
      <t>カクニン</t>
    </rPh>
    <phoneticPr fontId="3"/>
  </si>
  <si>
    <t>見積事業者名</t>
    <rPh sb="0" eb="2">
      <t>ミツモリ</t>
    </rPh>
    <rPh sb="2" eb="5">
      <t>ジギョウシャ</t>
    </rPh>
    <rPh sb="5" eb="6">
      <t>メイ</t>
    </rPh>
    <phoneticPr fontId="22"/>
  </si>
  <si>
    <t>事業者名</t>
    <rPh sb="0" eb="3">
      <t>ジギョウシャ</t>
    </rPh>
    <rPh sb="3" eb="4">
      <t>メイ</t>
    </rPh>
    <phoneticPr fontId="3"/>
  </si>
  <si>
    <t>補助金額</t>
    <rPh sb="0" eb="2">
      <t>ホジョ</t>
    </rPh>
    <rPh sb="2" eb="4">
      <t>キンガク</t>
    </rPh>
    <phoneticPr fontId="3"/>
  </si>
  <si>
    <t>判定</t>
    <rPh sb="0" eb="2">
      <t>ハンテイ</t>
    </rPh>
    <phoneticPr fontId="3"/>
  </si>
  <si>
    <t>対象機器を導入する住宅について</t>
    <rPh sb="0" eb="2">
      <t>タイショウ</t>
    </rPh>
    <rPh sb="2" eb="4">
      <t>キキ</t>
    </rPh>
    <rPh sb="5" eb="7">
      <t>ドウニュウ</t>
    </rPh>
    <rPh sb="9" eb="11">
      <t>ジュウタク</t>
    </rPh>
    <phoneticPr fontId="11"/>
  </si>
  <si>
    <t>蓄電池の蓄電容量×51,000円/kWh</t>
    <rPh sb="0" eb="3">
      <t>チクデンチ</t>
    </rPh>
    <rPh sb="4" eb="6">
      <t>チクデン</t>
    </rPh>
    <rPh sb="6" eb="8">
      <t>ヨウリョウ</t>
    </rPh>
    <rPh sb="15" eb="16">
      <t>エン</t>
    </rPh>
    <phoneticPr fontId="22"/>
  </si>
  <si>
    <t>蓄電池の補助交付申請額
（補助対象費用の３分の１。蓄電容量×51,000円が上限。75万円が上限。）(千円未満切り捨て)</t>
    <rPh sb="0" eb="3">
      <t>チクデンチ</t>
    </rPh>
    <rPh sb="4" eb="6">
      <t>ホジョ</t>
    </rPh>
    <rPh sb="6" eb="8">
      <t>コウフ</t>
    </rPh>
    <rPh sb="8" eb="10">
      <t>シンセイ</t>
    </rPh>
    <rPh sb="10" eb="11">
      <t>ガク</t>
    </rPh>
    <rPh sb="13" eb="15">
      <t>ホジョ</t>
    </rPh>
    <rPh sb="15" eb="17">
      <t>タイショウ</t>
    </rPh>
    <rPh sb="17" eb="19">
      <t>ヒヨウ</t>
    </rPh>
    <rPh sb="21" eb="22">
      <t>ブン</t>
    </rPh>
    <rPh sb="25" eb="27">
      <t>チクデン</t>
    </rPh>
    <rPh sb="38" eb="40">
      <t>ジョウゲン</t>
    </rPh>
    <rPh sb="43" eb="45">
      <t>マンエン</t>
    </rPh>
    <rPh sb="46" eb="48">
      <t>ジョウゲン</t>
    </rPh>
    <phoneticPr fontId="22"/>
  </si>
  <si>
    <t xml:space="preserve">蓄電池の種別
家庭用(4,800Ah・セル以下)
/業務用（蓄電容量が4,800Ah・セル超）
</t>
    <rPh sb="0" eb="3">
      <t>チクデンチ</t>
    </rPh>
    <rPh sb="4" eb="6">
      <t>シュベツ</t>
    </rPh>
    <rPh sb="21" eb="23">
      <t>イカ</t>
    </rPh>
    <rPh sb="26" eb="28">
      <t>ギョウム</t>
    </rPh>
    <rPh sb="28" eb="29">
      <t>ヨウ</t>
    </rPh>
    <rPh sb="30" eb="32">
      <t>チクデン</t>
    </rPh>
    <rPh sb="45" eb="46">
      <t>チョウ</t>
    </rPh>
    <phoneticPr fontId="22"/>
  </si>
  <si>
    <t>1kWhあたりの費用効率性の基準
（家庭用（蓄電容量が4,800Ah・セル以下）⇒12.5 万円/kWh以下・事業用（蓄電容量が4,800Ah・セル超）⇒11.9万円/kWh以下）　</t>
    <rPh sb="8" eb="10">
      <t>ヒヨウ</t>
    </rPh>
    <rPh sb="10" eb="13">
      <t>コウリツセイ</t>
    </rPh>
    <rPh sb="14" eb="16">
      <t>キジュン</t>
    </rPh>
    <rPh sb="22" eb="24">
      <t>チクデン</t>
    </rPh>
    <rPh sb="37" eb="39">
      <t>イカ</t>
    </rPh>
    <rPh sb="74" eb="75">
      <t>チョウ</t>
    </rPh>
    <phoneticPr fontId="22"/>
  </si>
  <si>
    <t>　【費用効率性要件】
　家庭用（蓄電容量が4,800Ah・セル以下）⇒12.5 万円/kWh（工事費込み・税抜き）以下</t>
    <rPh sb="2" eb="4">
      <t>ヒヨウ</t>
    </rPh>
    <rPh sb="4" eb="7">
      <t>コウリツセイ</t>
    </rPh>
    <rPh sb="7" eb="9">
      <t>ヨウケン</t>
    </rPh>
    <rPh sb="18" eb="20">
      <t>チクデン</t>
    </rPh>
    <rPh sb="33" eb="35">
      <t>イカ</t>
    </rPh>
    <rPh sb="59" eb="61">
      <t>イカ</t>
    </rPh>
    <phoneticPr fontId="26"/>
  </si>
  <si>
    <t>　事業用（蓄電容量が4,800Ah・セル超）⇒11.9 万円/kWh（工事費込み・税抜き）以下</t>
    <rPh sb="1" eb="3">
      <t>ジギョウ</t>
    </rPh>
    <rPh sb="5" eb="7">
      <t>チクデン</t>
    </rPh>
    <rPh sb="20" eb="21">
      <t>チョウ</t>
    </rPh>
    <rPh sb="45" eb="47">
      <t>イカ</t>
    </rPh>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</si>
</sst>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_);[Red]\(#,##0.0\)"/>
    <numFmt numFmtId="178" formatCode="#,##0.00_);[Red]\(#,##0.00\)"/>
    <numFmt numFmtId="179" formatCode="0.00_ "/>
    <numFmt numFmtId="180" formatCode="#,##0.000_);[Red]\(#,##0.000\)"/>
  </numFmts>
  <fonts count="41">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
      <sz val="24"/>
      <color rgb="FFFF0000"/>
      <name val="ＭＳ Ｐゴシック"/>
      <family val="3"/>
      <charset val="128"/>
    </font>
    <font>
      <sz val="16"/>
      <name val="HG丸ｺﾞｼｯｸM-PRO"/>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6">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7" fillId="0" borderId="0" xfId="1" applyFont="1" applyBorder="1" applyAlignment="1" applyProtection="1">
      <alignment horizontal="center" vertical="center" wrapText="1"/>
    </xf>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179" fontId="14" fillId="3" borderId="3" xfId="1" applyNumberFormat="1" applyFont="1" applyFill="1" applyBorder="1" applyAlignment="1" applyProtection="1">
      <alignment horizontal="center" vertical="center" shrinkToFi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9" fillId="0" borderId="0" xfId="1" applyFont="1" applyAlignment="1">
      <alignment horizontal="left" wrapTex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176" fontId="20" fillId="0" borderId="0" xfId="1" applyNumberFormat="1" applyFont="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76" fontId="14" fillId="3" borderId="8" xfId="1" applyNumberFormat="1" applyFont="1" applyFill="1" applyBorder="1" applyAlignment="1" applyProtection="1">
      <alignment horizontal="center" vertical="center" shrinkToFit="1"/>
      <protection locked="0"/>
    </xf>
    <xf numFmtId="180" fontId="23" fillId="3" borderId="3" xfId="1" applyNumberFormat="1" applyFont="1" applyFill="1" applyBorder="1" applyAlignment="1" applyProtection="1">
      <alignment horizontal="center" vertical="center" wrapText="1"/>
      <protection locked="0"/>
    </xf>
    <xf numFmtId="0" fontId="8" fillId="0" borderId="0" xfId="1" applyFont="1" applyAlignment="1" applyProtection="1">
      <alignment vertical="center"/>
    </xf>
    <xf numFmtId="0" fontId="9" fillId="0" borderId="0" xfId="1" applyFont="1" applyAlignment="1" applyProtection="1">
      <alignment vertical="center"/>
    </xf>
    <xf numFmtId="176" fontId="25" fillId="0" borderId="0" xfId="1" applyNumberFormat="1" applyFont="1" applyProtection="1">
      <alignment vertical="center"/>
    </xf>
    <xf numFmtId="179" fontId="14" fillId="3" borderId="1" xfId="1" applyNumberFormat="1" applyFont="1" applyFill="1" applyBorder="1" applyAlignment="1" applyProtection="1">
      <alignment horizontal="center" vertical="center" shrinkToFit="1"/>
      <protection locked="0"/>
    </xf>
    <xf numFmtId="179" fontId="14" fillId="4" borderId="1" xfId="2" applyNumberFormat="1" applyFont="1" applyFill="1" applyBorder="1" applyAlignment="1" applyProtection="1">
      <alignment horizontal="right" vertical="center" wrapText="1" indent="1"/>
    </xf>
    <xf numFmtId="38" fontId="16" fillId="0" borderId="1" xfId="2" applyNumberFormat="1" applyFont="1" applyFill="1" applyBorder="1" applyAlignment="1" applyProtection="1">
      <alignment horizontal="left" vertical="center" wrapText="1" shrinkToFit="1"/>
    </xf>
    <xf numFmtId="0" fontId="16" fillId="4" borderId="0" xfId="2" applyFont="1" applyFill="1" applyBorder="1" applyAlignment="1" applyProtection="1">
      <alignment horizontal="left" vertical="center" wrapText="1" indent="1"/>
    </xf>
    <xf numFmtId="0" fontId="13" fillId="5" borderId="20" xfId="2" applyFont="1" applyFill="1" applyBorder="1" applyAlignment="1" applyProtection="1">
      <alignment horizontal="left" vertical="top" wrapText="1"/>
    </xf>
    <xf numFmtId="0" fontId="39" fillId="5" borderId="21" xfId="2" applyFont="1" applyFill="1" applyBorder="1" applyAlignment="1" applyProtection="1">
      <alignment horizontal="left" vertical="center"/>
    </xf>
    <xf numFmtId="0" fontId="16" fillId="5" borderId="21" xfId="2" applyFont="1" applyFill="1" applyBorder="1" applyAlignment="1" applyProtection="1">
      <alignment horizontal="left" vertical="center" wrapText="1" shrinkToFit="1"/>
    </xf>
    <xf numFmtId="0" fontId="13" fillId="5" borderId="21" xfId="2" applyFont="1" applyFill="1" applyBorder="1" applyAlignment="1" applyProtection="1">
      <alignment horizontal="left" vertical="top" wrapText="1"/>
    </xf>
    <xf numFmtId="0" fontId="17" fillId="5" borderId="21" xfId="2" applyFont="1" applyFill="1" applyBorder="1" applyAlignment="1" applyProtection="1">
      <alignment horizontal="left" vertical="center" wrapText="1"/>
    </xf>
    <xf numFmtId="0" fontId="14" fillId="5" borderId="21" xfId="2" applyFont="1" applyFill="1" applyBorder="1" applyAlignment="1" applyProtection="1">
      <alignment horizontal="right" vertical="center" wrapText="1" indent="1"/>
    </xf>
    <xf numFmtId="0" fontId="16" fillId="5" borderId="22" xfId="2" applyFont="1" applyFill="1" applyBorder="1" applyAlignment="1" applyProtection="1">
      <alignment horizontal="left" vertical="center" wrapText="1" shrinkToFit="1"/>
    </xf>
    <xf numFmtId="179" fontId="14" fillId="4" borderId="0" xfId="2" applyNumberFormat="1" applyFont="1" applyFill="1" applyBorder="1" applyAlignment="1" applyProtection="1">
      <alignment horizontal="right" vertical="center" wrapText="1" indent="1"/>
    </xf>
    <xf numFmtId="38" fontId="16" fillId="0" borderId="0" xfId="2" applyNumberFormat="1" applyFont="1" applyFill="1" applyBorder="1" applyAlignment="1" applyProtection="1">
      <alignment horizontal="left" vertical="center" wrapText="1" shrinkToFit="1"/>
    </xf>
    <xf numFmtId="0" fontId="40" fillId="0" borderId="0" xfId="2" applyFont="1" applyAlignment="1" applyProtection="1">
      <alignment horizontal="left" vertical="top"/>
    </xf>
    <xf numFmtId="0" fontId="6" fillId="0" borderId="0" xfId="2" applyFont="1" applyAlignment="1" applyProtection="1">
      <alignment horizontal="left" vertical="top"/>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16" fillId="2" borderId="1" xfId="1" applyFont="1" applyFill="1" applyBorder="1" applyAlignment="1" applyProtection="1">
      <alignment horizontal="left" vertical="center" wrapTex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36" fillId="0" borderId="0" xfId="1" applyFont="1" applyAlignment="1" applyProtection="1">
      <alignment horizontal="center" vertical="center" wrapText="1"/>
    </xf>
    <xf numFmtId="0" fontId="16" fillId="2" borderId="3" xfId="1" applyFont="1" applyFill="1" applyBorder="1" applyAlignment="1" applyProtection="1">
      <alignment horizontal="lef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2" fillId="0" borderId="0" xfId="1" applyFont="1" applyAlignment="1" applyProtection="1">
      <alignment horizontal="left" shrinkToFit="1"/>
    </xf>
    <xf numFmtId="0" fontId="19" fillId="0" borderId="0" xfId="1" applyFont="1" applyAlignment="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4" xfId="2" applyFont="1" applyFill="1" applyBorder="1" applyAlignment="1" applyProtection="1">
      <alignment horizontal="left" vertical="center" wrapText="1"/>
    </xf>
    <xf numFmtId="0" fontId="14" fillId="2" borderId="5" xfId="2" applyFont="1" applyFill="1" applyBorder="1" applyAlignment="1" applyProtection="1">
      <alignment horizontal="left" vertical="center" wrapText="1"/>
    </xf>
    <xf numFmtId="0" fontId="14" fillId="2" borderId="14" xfId="2" applyFont="1" applyFill="1" applyBorder="1" applyAlignment="1" applyProtection="1">
      <alignment horizontal="left" vertical="center" wrapText="1"/>
    </xf>
    <xf numFmtId="0" fontId="14" fillId="2" borderId="17" xfId="2" applyFont="1" applyFill="1" applyBorder="1" applyAlignment="1" applyProtection="1">
      <alignment horizontal="left" vertical="center" wrapText="1"/>
    </xf>
    <xf numFmtId="0" fontId="14" fillId="2" borderId="18" xfId="2" applyFont="1" applyFill="1" applyBorder="1" applyAlignment="1" applyProtection="1">
      <alignment horizontal="left" vertical="center" wrapText="1"/>
    </xf>
    <xf numFmtId="0" fontId="14" fillId="2" borderId="19" xfId="2" applyFont="1" applyFill="1" applyBorder="1" applyAlignment="1" applyProtection="1">
      <alignment horizontal="left" vertical="center" wrapText="1"/>
    </xf>
    <xf numFmtId="0" fontId="24" fillId="0" borderId="0" xfId="1" applyFont="1" applyAlignment="1">
      <alignment horizontal="left" vertical="center" wrapText="1"/>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5" Type="http://schemas.openxmlformats.org/officeDocument/2006/relationships/hyperlink" Target="https://www.cev-pc.or.jp/" TargetMode="External"/><Relationship Id="rId10" Type="http://schemas.openxmlformats.org/officeDocument/2006/relationships/comments" Target="../comments1.xml"/><Relationship Id="rId4" Type="http://schemas.openxmlformats.org/officeDocument/2006/relationships/hyperlink" Target="https://www.cev-pc.or.j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5"/>
  <sheetViews>
    <sheetView showGridLines="0" tabSelected="1" view="pageBreakPreview" zoomScaleNormal="100" zoomScaleSheetLayoutView="100" workbookViewId="0">
      <selection activeCell="E4" sqref="E4"/>
    </sheetView>
  </sheetViews>
  <sheetFormatPr defaultColWidth="8" defaultRowHeight="13.5" outlineLevelCol="1"/>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c r="G1" s="4" t="str">
        <f>IF(E6="","","申請者：")</f>
        <v/>
      </c>
      <c r="H1" s="173" t="str">
        <f>IF(E6="","","  "&amp;E6)</f>
        <v/>
      </c>
      <c r="I1" s="173"/>
    </row>
    <row r="2" spans="1:25" ht="33.6" customHeight="1">
      <c r="A2" s="7"/>
      <c r="B2" s="174" t="s">
        <v>0</v>
      </c>
      <c r="C2" s="175"/>
      <c r="D2" s="175"/>
      <c r="E2" s="175"/>
      <c r="F2" s="102" t="s">
        <v>210</v>
      </c>
      <c r="G2" s="9"/>
      <c r="H2" s="176"/>
      <c r="I2" s="176"/>
      <c r="X2" s="6">
        <f>+X4*X6*X13*X14*X15*X8*X10*X5*X7</f>
        <v>0</v>
      </c>
    </row>
    <row r="3" spans="1:25" ht="22.5" customHeight="1">
      <c r="A3" s="7"/>
      <c r="B3" s="10"/>
      <c r="C3" s="11"/>
      <c r="D3" s="11"/>
      <c r="E3" s="11"/>
      <c r="F3" s="8"/>
      <c r="G3" s="9"/>
      <c r="H3" s="12"/>
      <c r="I3" s="12"/>
      <c r="X3" s="6" t="s">
        <v>1</v>
      </c>
    </row>
    <row r="4" spans="1:25" s="13" customFormat="1" ht="50.25" customHeight="1">
      <c r="C4" s="177" t="s">
        <v>2</v>
      </c>
      <c r="D4" s="177"/>
      <c r="E4" s="14"/>
      <c r="F4" s="15" t="s">
        <v>3</v>
      </c>
      <c r="G4" s="16"/>
      <c r="H4" s="16"/>
      <c r="J4" s="17"/>
      <c r="L4" s="18" t="s">
        <v>4</v>
      </c>
      <c r="X4" s="19">
        <f>IF(E4="",0,1)</f>
        <v>0</v>
      </c>
    </row>
    <row r="5" spans="1:25" s="104" customFormat="1" ht="29.25" customHeight="1">
      <c r="C5" s="181" t="s">
        <v>231</v>
      </c>
      <c r="D5" s="182"/>
      <c r="E5" s="14"/>
      <c r="F5" s="115"/>
      <c r="G5" s="106"/>
      <c r="H5" s="106"/>
      <c r="J5" s="107"/>
      <c r="L5" s="108"/>
      <c r="X5" s="109">
        <f>IF(E5="",0,1)</f>
        <v>0</v>
      </c>
    </row>
    <row r="6" spans="1:25" s="13" customFormat="1" ht="50.1" customHeight="1">
      <c r="C6" s="183"/>
      <c r="D6" s="184"/>
      <c r="E6" s="20"/>
      <c r="F6" s="15" t="s">
        <v>3</v>
      </c>
      <c r="G6" s="16"/>
      <c r="H6" s="16"/>
      <c r="J6" s="17"/>
      <c r="L6" s="18"/>
      <c r="X6" s="19">
        <f>IF(E6="",0,1)</f>
        <v>0</v>
      </c>
    </row>
    <row r="7" spans="1:25" s="104" customFormat="1" ht="39.950000000000003" customHeight="1">
      <c r="C7" s="177" t="s">
        <v>248</v>
      </c>
      <c r="D7" s="177"/>
      <c r="E7" s="51"/>
      <c r="F7" s="115" t="s">
        <v>3</v>
      </c>
      <c r="G7" s="106"/>
      <c r="H7" s="22"/>
      <c r="J7" s="146" t="str">
        <f>IF(E7="新築（市外から転居予定）","交付申請時に現在の市町村で発行される完納証明書の添付が必要です。（詳細は交付申請書の添付書類確認欄を参照してください。）","")</f>
        <v/>
      </c>
      <c r="L7" s="108"/>
      <c r="X7" s="109">
        <f>IF(E7="",0,1)</f>
        <v>0</v>
      </c>
    </row>
    <row r="8" spans="1:25" s="13" customFormat="1" ht="39.950000000000003" customHeight="1">
      <c r="C8" s="177" t="s">
        <v>185</v>
      </c>
      <c r="D8" s="177"/>
      <c r="E8" s="20"/>
      <c r="F8" s="15" t="s">
        <v>3</v>
      </c>
      <c r="G8" s="16"/>
      <c r="H8" s="22"/>
      <c r="J8" s="17"/>
      <c r="L8" s="18"/>
      <c r="X8" s="19">
        <f>IF(E8="",0,1)</f>
        <v>0</v>
      </c>
    </row>
    <row r="9" spans="1:25" s="104" customFormat="1" ht="60" customHeight="1">
      <c r="C9" s="179" t="s">
        <v>229</v>
      </c>
      <c r="D9" s="180"/>
      <c r="E9" s="110"/>
      <c r="F9" s="115" t="s">
        <v>230</v>
      </c>
      <c r="G9" s="106"/>
      <c r="H9" s="22"/>
      <c r="J9" s="107"/>
      <c r="L9" s="108"/>
      <c r="X9" s="109"/>
    </row>
    <row r="10" spans="1:25" s="13" customFormat="1" ht="409.5" customHeight="1">
      <c r="A10" s="104"/>
      <c r="B10" s="104"/>
      <c r="C10" s="177" t="s">
        <v>211</v>
      </c>
      <c r="D10" s="177"/>
      <c r="E10" s="110"/>
      <c r="F10" s="105" t="s">
        <v>3</v>
      </c>
      <c r="G10" s="106"/>
      <c r="H10" s="106"/>
      <c r="I10" s="104"/>
      <c r="J10" s="107"/>
      <c r="K10" s="104"/>
      <c r="L10" s="108"/>
      <c r="M10" s="104"/>
      <c r="N10" s="104"/>
      <c r="O10" s="104"/>
      <c r="P10" s="104"/>
      <c r="Q10" s="104"/>
      <c r="R10" s="104"/>
      <c r="S10" s="104"/>
      <c r="T10" s="104"/>
      <c r="U10" s="104"/>
      <c r="V10" s="104"/>
      <c r="W10" s="104"/>
      <c r="X10" s="109">
        <f>IF(E10="",0,1)</f>
        <v>0</v>
      </c>
      <c r="Y10" s="104"/>
    </row>
    <row r="11" spans="1:25" s="13" customFormat="1" ht="22.5" customHeight="1">
      <c r="C11" s="23"/>
      <c r="D11" s="24"/>
      <c r="E11" s="24"/>
      <c r="F11" s="24"/>
      <c r="G11" s="25"/>
      <c r="H11" s="26"/>
      <c r="J11" s="17"/>
      <c r="M11" s="18"/>
      <c r="X11" s="19"/>
    </row>
    <row r="12" spans="1:25" s="13" customFormat="1" ht="16.5" customHeight="1">
      <c r="A12" s="1"/>
      <c r="B12" s="27" t="s">
        <v>5</v>
      </c>
      <c r="C12" s="28"/>
      <c r="D12" s="28"/>
      <c r="E12" s="29"/>
      <c r="F12" s="30"/>
      <c r="G12" s="31"/>
      <c r="H12" s="1"/>
      <c r="I12" s="1"/>
      <c r="J12" s="17"/>
      <c r="L12" s="18" t="s">
        <v>6</v>
      </c>
      <c r="X12" s="19"/>
    </row>
    <row r="13" spans="1:25" ht="50.1" customHeight="1">
      <c r="B13" s="32"/>
      <c r="C13" s="151" t="s">
        <v>7</v>
      </c>
      <c r="D13" s="151"/>
      <c r="E13" s="33"/>
      <c r="F13" s="15" t="s">
        <v>3</v>
      </c>
      <c r="G13" s="34"/>
      <c r="J13" s="171" t="str">
        <f>IF(E13="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13="設置されていた","以前から太陽光発電設備が設置されていた場合は太陽光発電設備・蓄電池の補助は対象外となります。",""))</f>
        <v/>
      </c>
      <c r="K13" s="172"/>
      <c r="L13" s="172"/>
      <c r="M13" s="172"/>
      <c r="N13" s="172"/>
      <c r="O13" s="172"/>
      <c r="P13" s="172"/>
      <c r="Q13" s="172"/>
      <c r="R13" s="172"/>
      <c r="S13" s="172"/>
      <c r="X13" s="19">
        <f>IF(E13="",0,1)</f>
        <v>0</v>
      </c>
    </row>
    <row r="14" spans="1:25" ht="50.1" customHeight="1" thickBot="1">
      <c r="B14" s="32"/>
      <c r="C14" s="151" t="s">
        <v>8</v>
      </c>
      <c r="D14" s="151"/>
      <c r="E14" s="33"/>
      <c r="F14" s="15" t="s">
        <v>3</v>
      </c>
      <c r="G14" s="34"/>
      <c r="H14" s="178" t="s">
        <v>9</v>
      </c>
      <c r="I14" s="178"/>
      <c r="J14" s="5" t="str">
        <f>IF(E14="利用する","FIT・FIP制度を利用する場合は太陽光発電設備・蓄電池の補助は対象外となります。","")</f>
        <v/>
      </c>
      <c r="X14" s="19">
        <f>IF(E14="",0,1)</f>
        <v>0</v>
      </c>
    </row>
    <row r="15" spans="1:25" ht="50.1" customHeight="1" thickBot="1">
      <c r="B15" s="32"/>
      <c r="C15" s="151" t="s">
        <v>10</v>
      </c>
      <c r="D15" s="151"/>
      <c r="E15" s="33"/>
      <c r="F15" s="15" t="s">
        <v>3</v>
      </c>
      <c r="G15" s="34"/>
      <c r="H15" s="35" t="str">
        <f>IF(X2=1,"○","")</f>
        <v/>
      </c>
      <c r="J15" s="171" t="str">
        <f>IF(E15="使用する（今回新たに設置・今回取替）","コージェネレーションシステムを使用する場合は太陽光発電設備・蓄電池の補助は対象外となります。",IF(E15="使用する（従来から設置するものを）","従来から設置するコージェネレーションシステムを引き続き使用する場合は太陽光発電設備・蓄電池・コージェネレーションシステムの補助は対象外となります。",""))</f>
        <v/>
      </c>
      <c r="K15" s="172"/>
      <c r="L15" s="172"/>
      <c r="M15" s="172"/>
      <c r="N15" s="172"/>
      <c r="O15" s="172"/>
      <c r="P15" s="172"/>
      <c r="Q15" s="172"/>
      <c r="R15" s="172"/>
      <c r="X15" s="19">
        <f>IF(E15="",0,1)</f>
        <v>0</v>
      </c>
    </row>
    <row r="16" spans="1:25" ht="16.5" customHeight="1">
      <c r="B16" s="32"/>
      <c r="C16" s="36"/>
      <c r="D16" s="36"/>
      <c r="E16" s="37"/>
      <c r="F16" s="38"/>
      <c r="G16" s="9"/>
      <c r="J16" s="5" t="str">
        <f>IF(X2=0,"上記の記載必須項目が入力されていません。","")</f>
        <v>上記の記載必須項目が入力されていません。</v>
      </c>
    </row>
    <row r="17" spans="2:24" s="13" customFormat="1" ht="12.75" customHeight="1">
      <c r="B17" s="39"/>
      <c r="C17" s="23"/>
      <c r="D17" s="40"/>
      <c r="E17" s="40"/>
      <c r="F17" s="40"/>
      <c r="G17" s="25"/>
      <c r="H17" s="26"/>
      <c r="J17" s="17"/>
      <c r="X17" s="19"/>
    </row>
    <row r="18" spans="2:24" s="13" customFormat="1" ht="12.75" customHeight="1">
      <c r="B18" s="39"/>
      <c r="C18" s="23"/>
      <c r="D18" s="40"/>
      <c r="E18" s="40"/>
      <c r="F18" s="40"/>
      <c r="G18" s="25"/>
      <c r="H18" s="26"/>
      <c r="J18" s="17"/>
      <c r="X18" s="19"/>
    </row>
    <row r="19" spans="2:24" ht="16.5" customHeight="1">
      <c r="B19" s="27" t="s">
        <v>11</v>
      </c>
      <c r="C19" s="28"/>
      <c r="D19" s="28"/>
      <c r="E19" s="29"/>
      <c r="F19" s="30"/>
      <c r="L19" s="18" t="s">
        <v>12</v>
      </c>
    </row>
    <row r="20" spans="2:24" ht="16.5" customHeight="1">
      <c r="C20" s="28" t="s">
        <v>13</v>
      </c>
      <c r="D20" s="28"/>
      <c r="E20" s="29"/>
      <c r="F20" s="30"/>
    </row>
    <row r="21" spans="2:24" ht="50.1" customHeight="1">
      <c r="B21" s="32"/>
      <c r="C21" s="151" t="s">
        <v>14</v>
      </c>
      <c r="D21" s="151"/>
      <c r="E21" s="128"/>
      <c r="F21" s="15"/>
      <c r="G21" s="9" t="s">
        <v>15</v>
      </c>
      <c r="J21" s="5" t="str">
        <f>IF(E26+E27=0,"",IF(E21="","メーカー名・型番を入力してください。",""))</f>
        <v/>
      </c>
      <c r="X21" s="19"/>
    </row>
    <row r="22" spans="2:24" ht="50.1" customHeight="1">
      <c r="B22" s="32"/>
      <c r="C22" s="151" t="s">
        <v>16</v>
      </c>
      <c r="D22" s="151"/>
      <c r="E22" s="128"/>
      <c r="F22" s="15"/>
      <c r="G22" s="9" t="s">
        <v>17</v>
      </c>
      <c r="J22" s="5" t="str">
        <f>IF(E26+E27=0,"",IF(E22="","メーカー名・型番を入力してください。",""))</f>
        <v/>
      </c>
      <c r="X22" s="19"/>
    </row>
    <row r="23" spans="2:24" ht="50.1" customHeight="1">
      <c r="B23" s="32"/>
      <c r="C23" s="151" t="s">
        <v>18</v>
      </c>
      <c r="D23" s="151"/>
      <c r="E23" s="42"/>
      <c r="F23" s="15" t="s">
        <v>19</v>
      </c>
      <c r="G23" s="9" t="s">
        <v>20</v>
      </c>
      <c r="J23" s="5" t="str">
        <f>IF(E26+E27=0,"",IF(E23="","未入力です。入力してください。",IF(E23&gt;5.1,"太陽電池モジュールの公称最大出力の合計値が5.10kWを超える場合は太陽光発電設備の補助は対象外となります。","")))</f>
        <v/>
      </c>
    </row>
    <row r="24" spans="2:24" ht="50.1" customHeight="1">
      <c r="B24" s="32"/>
      <c r="C24" s="151" t="s">
        <v>21</v>
      </c>
      <c r="D24" s="151"/>
      <c r="E24" s="42"/>
      <c r="F24" s="15" t="s">
        <v>19</v>
      </c>
      <c r="G24" s="9" t="s">
        <v>22</v>
      </c>
      <c r="M24" s="43"/>
      <c r="N24" s="43"/>
      <c r="O24" s="43"/>
      <c r="P24" s="43"/>
      <c r="Q24" s="43"/>
      <c r="R24" s="43"/>
      <c r="S24" s="43"/>
      <c r="T24" s="43"/>
    </row>
    <row r="25" spans="2:24" ht="50.1" customHeight="1">
      <c r="B25" s="32"/>
      <c r="C25" s="151" t="s">
        <v>23</v>
      </c>
      <c r="D25" s="151"/>
      <c r="E25" s="44" t="str">
        <f>IF(E23="","",ROUNDDOWN(MIN(E23:E24),0))</f>
        <v/>
      </c>
      <c r="F25" s="15" t="s">
        <v>24</v>
      </c>
      <c r="G25" s="9" t="s">
        <v>25</v>
      </c>
      <c r="J25" s="5" t="str">
        <f>IF(E14="利用する","FIT・FIP制度を利用する場合は太陽光発電設備・蓄電池の補助は対象外となります。","")</f>
        <v/>
      </c>
      <c r="M25" s="43"/>
      <c r="N25" s="43"/>
      <c r="O25" s="43"/>
      <c r="P25" s="43"/>
      <c r="Q25" s="43"/>
      <c r="R25" s="43"/>
      <c r="S25" s="43"/>
      <c r="T25" s="43"/>
    </row>
    <row r="26" spans="2:24" ht="50.1" customHeight="1">
      <c r="B26" s="32"/>
      <c r="C26" s="162" t="s">
        <v>26</v>
      </c>
      <c r="D26" s="163"/>
      <c r="E26" s="45"/>
      <c r="F26" s="15" t="s">
        <v>27</v>
      </c>
      <c r="G26" s="9" t="s">
        <v>28</v>
      </c>
      <c r="M26" s="185" t="s">
        <v>29</v>
      </c>
      <c r="N26" s="185"/>
      <c r="O26" s="185"/>
      <c r="P26" s="185"/>
      <c r="Q26" s="185"/>
      <c r="R26" s="185"/>
      <c r="S26" s="185"/>
      <c r="T26" s="185"/>
    </row>
    <row r="27" spans="2:24" ht="50.1" customHeight="1">
      <c r="B27" s="32"/>
      <c r="C27" s="162" t="s">
        <v>30</v>
      </c>
      <c r="D27" s="163"/>
      <c r="E27" s="45"/>
      <c r="F27" s="15" t="s">
        <v>27</v>
      </c>
      <c r="G27" s="9" t="s">
        <v>31</v>
      </c>
      <c r="M27" s="185"/>
      <c r="N27" s="185"/>
      <c r="O27" s="185"/>
      <c r="P27" s="185"/>
      <c r="Q27" s="185"/>
      <c r="R27" s="185"/>
      <c r="S27" s="185"/>
      <c r="T27" s="185"/>
    </row>
    <row r="28" spans="2:24" ht="50.1" customHeight="1">
      <c r="B28" s="32"/>
      <c r="C28" s="158" t="s">
        <v>184</v>
      </c>
      <c r="D28" s="159"/>
      <c r="E28" s="97">
        <f>+E26+E27</f>
        <v>0</v>
      </c>
      <c r="F28" s="15" t="s">
        <v>161</v>
      </c>
      <c r="G28" s="9" t="s">
        <v>162</v>
      </c>
      <c r="H28" s="91"/>
      <c r="I28" s="91"/>
      <c r="M28" s="94"/>
      <c r="N28" s="94"/>
      <c r="O28" s="94"/>
      <c r="P28" s="94"/>
      <c r="Q28" s="94"/>
      <c r="R28" s="94"/>
      <c r="S28" s="94"/>
      <c r="T28" s="94"/>
    </row>
    <row r="29" spans="2:24" ht="50.1" customHeight="1" thickBot="1">
      <c r="B29" s="32"/>
      <c r="C29" s="158" t="s">
        <v>187</v>
      </c>
      <c r="D29" s="159"/>
      <c r="E29" s="45"/>
      <c r="F29" s="15" t="s">
        <v>166</v>
      </c>
      <c r="G29" s="9" t="s">
        <v>163</v>
      </c>
      <c r="H29" s="164" t="s">
        <v>32</v>
      </c>
      <c r="I29" s="164"/>
      <c r="M29" s="94"/>
      <c r="N29" s="94"/>
      <c r="O29" s="94"/>
      <c r="P29" s="94"/>
      <c r="Q29" s="94"/>
      <c r="R29" s="94"/>
      <c r="S29" s="94"/>
      <c r="T29" s="94"/>
    </row>
    <row r="30" spans="2:24" ht="50.1" customHeight="1" thickBot="1">
      <c r="B30" s="32"/>
      <c r="C30" s="162" t="s">
        <v>33</v>
      </c>
      <c r="D30" s="163"/>
      <c r="E30" s="44">
        <f>IF(E26+E27-E29=0,0,E26+E27-E29)</f>
        <v>0</v>
      </c>
      <c r="F30" s="15" t="s">
        <v>165</v>
      </c>
      <c r="G30" s="9" t="s">
        <v>57</v>
      </c>
      <c r="H30" s="35" t="str">
        <f>IF(E23="","",IF(E14="利用する","",IF(E13="設置されていなかった（今回新たに設置）",IF(E21="","",IF(E22="","",IF(H103="","",IF(E15="使用しない",IF(E23&lt;=5.1,"○",""),"")))),"")))</f>
        <v/>
      </c>
      <c r="I30" s="46"/>
      <c r="J30" s="5" t="str">
        <f>IF(E15="使用する（今回新たに設置・今回取替）","コージェネレーションシステムを使用する場合は太陽光発電設備・蓄電池の補助は対象外となります。",IF(E15="使用する（従来から設置するものを）","コージェネレーションシステムを使用する場合は太陽光発電設備・蓄電池の補助は対象外となります。",""))</f>
        <v/>
      </c>
      <c r="M30" s="43"/>
      <c r="N30" s="43"/>
      <c r="O30" s="43"/>
      <c r="P30" s="43"/>
      <c r="Q30" s="43"/>
      <c r="R30" s="43"/>
      <c r="S30" s="43"/>
      <c r="T30" s="43"/>
    </row>
    <row r="31" spans="2:24" ht="50.1" customHeight="1" thickBot="1">
      <c r="B31" s="32"/>
      <c r="C31" s="149" t="s">
        <v>212</v>
      </c>
      <c r="D31" s="150"/>
      <c r="E31" s="47">
        <f>IF(H30="○",IF(E25="",0,IF(E25*70000&lt;=350000,ROUNDDOWN(MIN(E25*70000,E30),-3),350000)),0)</f>
        <v>0</v>
      </c>
      <c r="F31" s="48" t="s">
        <v>27</v>
      </c>
      <c r="G31" s="9" t="s">
        <v>164</v>
      </c>
      <c r="J31" s="5" t="str">
        <f>IF(E26+E27=0,"",IF(E103="","「３自家消費率」の入力が必要です。",IF(E103="","「３自家消費率」の入力が必要です。","")))</f>
        <v/>
      </c>
      <c r="M31" s="43"/>
      <c r="N31" s="43"/>
      <c r="O31" s="43"/>
      <c r="P31" s="43"/>
      <c r="Q31" s="43"/>
      <c r="R31" s="43"/>
      <c r="S31" s="43"/>
      <c r="T31" s="43"/>
    </row>
    <row r="32" spans="2:24" s="111" customFormat="1" ht="50.1" customHeight="1" thickBot="1">
      <c r="B32" s="117"/>
      <c r="C32" s="149" t="s">
        <v>213</v>
      </c>
      <c r="D32" s="150"/>
      <c r="E32" s="121">
        <f>IF(E31=0,0,IF(E30&lt;(E31+E25*40000),IF(H30="○",IF(E25="",0,IF(E25*40000&lt;=200000,ROUNDDOWN(MIN(E25*40000-(E31+E25*40000-E30),E30-(E31+E25*40000-E30)),-3),200000-(E31+E25*40000-E30))),0),IF(H30="○",IF(E25="",0,IF(E25*40000&lt;=200000,ROUNDDOWN(MIN(E25*40000,E30),-3),200000)),0)))</f>
        <v>0</v>
      </c>
      <c r="F32" s="122" t="s">
        <v>27</v>
      </c>
      <c r="G32" s="114" t="s">
        <v>214</v>
      </c>
      <c r="J32" s="112"/>
      <c r="M32" s="118"/>
      <c r="N32" s="118"/>
      <c r="O32" s="118"/>
      <c r="P32" s="118"/>
      <c r="Q32" s="118"/>
      <c r="R32" s="118"/>
      <c r="S32" s="118"/>
      <c r="T32" s="118"/>
      <c r="X32" s="113"/>
    </row>
    <row r="33" spans="2:33" ht="16.5" customHeight="1">
      <c r="B33" s="32"/>
      <c r="C33" s="36"/>
      <c r="D33" s="36"/>
      <c r="E33" s="49"/>
      <c r="F33" s="38"/>
      <c r="G33" s="9"/>
    </row>
    <row r="34" spans="2:33" ht="16.5" customHeight="1">
      <c r="C34" s="28" t="s">
        <v>35</v>
      </c>
      <c r="D34" s="28"/>
      <c r="E34" s="29"/>
      <c r="F34" s="30"/>
    </row>
    <row r="35" spans="2:33" ht="50.1" customHeight="1">
      <c r="B35" s="32"/>
      <c r="C35" s="151" t="s">
        <v>36</v>
      </c>
      <c r="D35" s="151"/>
      <c r="E35" s="41"/>
      <c r="F35" s="15"/>
      <c r="G35" s="9" t="s">
        <v>37</v>
      </c>
      <c r="J35" s="5" t="str">
        <f>IF(E41+E42=0,"",IF(E35="","メーカー名・型番を入力してください。",""))</f>
        <v/>
      </c>
    </row>
    <row r="36" spans="2:33" ht="50.1" customHeight="1">
      <c r="B36" s="32"/>
      <c r="C36" s="151" t="s">
        <v>251</v>
      </c>
      <c r="D36" s="151"/>
      <c r="E36" s="51"/>
      <c r="F36" s="52" t="str">
        <f>IF(E38&lt;=10,"",IF(E36="家庭用","大阪南消防組合火災予防条例の規定を遵守すること",IF(E36="業務用","大阪南消防組合火災予防条例の規定を遵守すること","")))</f>
        <v/>
      </c>
      <c r="G36" s="9" t="s">
        <v>236</v>
      </c>
      <c r="J36" s="53"/>
    </row>
    <row r="37" spans="2:33" ht="50.1" customHeight="1">
      <c r="B37" s="32"/>
      <c r="C37" s="151" t="s">
        <v>233</v>
      </c>
      <c r="D37" s="151"/>
      <c r="E37" s="50"/>
      <c r="F37" s="15"/>
      <c r="G37" s="1" t="s">
        <v>237</v>
      </c>
      <c r="J37" s="5" t="str">
        <f>IF(E41+E42=0,"",IF(E36="","未選択です。選択してください。",IF(E36="家庭用",IF(E37="","未選択です。選択してください。",IF(E37="機器登録されていない","家庭用蓄電池については機器登録されていない型番は補助対象外です。","")),IF(E36="業務用",IF(E37="","","業務用蓄電池の場合は入力不要です。"),""))))</f>
        <v/>
      </c>
      <c r="K37" s="160" t="s">
        <v>234</v>
      </c>
      <c r="L37" s="161"/>
      <c r="M37" s="161"/>
      <c r="N37" s="54" t="s">
        <v>235</v>
      </c>
    </row>
    <row r="38" spans="2:33" ht="50.1" customHeight="1">
      <c r="B38" s="32"/>
      <c r="C38" s="151" t="s">
        <v>232</v>
      </c>
      <c r="D38" s="151"/>
      <c r="E38" s="50"/>
      <c r="F38" s="52" t="str">
        <f>IF(E36="家庭用","kWh （一般社団法人イニシアチブの蓄電システム登録済製品一覧から該当する製品の「蓄電容量(kWh)」を転記してください）","kWh")</f>
        <v>kWh</v>
      </c>
      <c r="G38" s="9" t="s">
        <v>238</v>
      </c>
      <c r="J38" s="5" t="str">
        <f>IF(E41+E42=0,"",IF(E38="","未入力です。入力してください。",""))</f>
        <v/>
      </c>
      <c r="K38" s="160"/>
      <c r="L38" s="161"/>
      <c r="M38" s="161"/>
      <c r="N38" s="54"/>
    </row>
    <row r="39" spans="2:33" ht="50.1" customHeight="1">
      <c r="B39" s="32"/>
      <c r="C39" s="151" t="s">
        <v>252</v>
      </c>
      <c r="D39" s="151"/>
      <c r="E39" s="44" t="str">
        <f>IF(E36="","",VLOOKUP(E36,$AF$40:$AG$41,2,))</f>
        <v/>
      </c>
      <c r="F39" s="15" t="s">
        <v>132</v>
      </c>
      <c r="G39" s="1" t="s">
        <v>41</v>
      </c>
      <c r="Y39" s="55" t="s">
        <v>42</v>
      </c>
      <c r="Z39" s="55" t="s">
        <v>43</v>
      </c>
      <c r="AA39" s="55" t="s">
        <v>44</v>
      </c>
    </row>
    <row r="40" spans="2:33" ht="50.1" customHeight="1">
      <c r="B40" s="32"/>
      <c r="C40" s="151" t="s">
        <v>249</v>
      </c>
      <c r="D40" s="151"/>
      <c r="E40" s="44" t="str">
        <f>IF(E38="","",E38*51000)</f>
        <v/>
      </c>
      <c r="F40" s="15" t="s">
        <v>239</v>
      </c>
      <c r="G40" s="9" t="s">
        <v>28</v>
      </c>
      <c r="J40" s="5" t="str">
        <f>IF(E14="利用する","FIT・FIP制度を利用する場合は太陽光発電設備・蓄電池の補助は対象外となります。","")</f>
        <v/>
      </c>
      <c r="Y40" s="55" t="s">
        <v>45</v>
      </c>
      <c r="Z40" s="103">
        <v>2</v>
      </c>
      <c r="AA40" s="103">
        <v>9.6</v>
      </c>
      <c r="AF40" s="55" t="s">
        <v>46</v>
      </c>
      <c r="AG40" s="103">
        <v>125000</v>
      </c>
    </row>
    <row r="41" spans="2:33" ht="50.1" customHeight="1">
      <c r="B41" s="32"/>
      <c r="C41" s="162" t="s">
        <v>47</v>
      </c>
      <c r="D41" s="163"/>
      <c r="E41" s="45"/>
      <c r="F41" s="15" t="s">
        <v>48</v>
      </c>
      <c r="G41" s="9" t="s">
        <v>31</v>
      </c>
      <c r="M41" s="165" t="s">
        <v>49</v>
      </c>
      <c r="N41" s="165"/>
      <c r="O41" s="165"/>
      <c r="P41" s="165"/>
      <c r="Q41" s="165"/>
      <c r="R41" s="165"/>
      <c r="S41" s="165"/>
      <c r="T41" s="165"/>
      <c r="Y41" s="55" t="s">
        <v>50</v>
      </c>
      <c r="Z41" s="103">
        <v>1.2</v>
      </c>
      <c r="AA41" s="103">
        <v>5.76</v>
      </c>
      <c r="AF41" s="55" t="s">
        <v>51</v>
      </c>
      <c r="AG41" s="103">
        <v>119000</v>
      </c>
    </row>
    <row r="42" spans="2:33" ht="50.1" customHeight="1">
      <c r="B42" s="32"/>
      <c r="C42" s="162" t="s">
        <v>52</v>
      </c>
      <c r="D42" s="163"/>
      <c r="E42" s="45"/>
      <c r="F42" s="15" t="s">
        <v>48</v>
      </c>
      <c r="G42" s="9" t="s">
        <v>34</v>
      </c>
      <c r="M42" s="168" t="s">
        <v>253</v>
      </c>
      <c r="N42" s="168"/>
      <c r="O42" s="168"/>
      <c r="P42" s="168"/>
      <c r="Q42" s="168"/>
      <c r="R42" s="168"/>
      <c r="S42" s="168"/>
      <c r="T42" s="168"/>
      <c r="Y42" s="55" t="s">
        <v>53</v>
      </c>
      <c r="Z42" s="103">
        <v>1.2</v>
      </c>
      <c r="AA42" s="103">
        <v>5.76</v>
      </c>
    </row>
    <row r="43" spans="2:33" ht="50.1" customHeight="1">
      <c r="B43" s="32"/>
      <c r="C43" s="158" t="s">
        <v>184</v>
      </c>
      <c r="D43" s="159"/>
      <c r="E43" s="97">
        <f>+E41+E42</f>
        <v>0</v>
      </c>
      <c r="F43" s="15" t="s">
        <v>172</v>
      </c>
      <c r="G43" s="9" t="s">
        <v>167</v>
      </c>
      <c r="M43" s="95"/>
      <c r="N43" s="95"/>
      <c r="O43" s="95"/>
      <c r="P43" s="95"/>
      <c r="Q43" s="95"/>
      <c r="R43" s="95"/>
      <c r="S43" s="95"/>
      <c r="T43" s="95"/>
      <c r="Y43" s="55"/>
      <c r="Z43" s="55"/>
      <c r="AA43" s="55"/>
    </row>
    <row r="44" spans="2:33" ht="50.1" customHeight="1">
      <c r="B44" s="32"/>
      <c r="C44" s="158" t="s">
        <v>187</v>
      </c>
      <c r="D44" s="159"/>
      <c r="E44" s="45"/>
      <c r="F44" s="15" t="s">
        <v>166</v>
      </c>
      <c r="G44" s="9" t="s">
        <v>168</v>
      </c>
      <c r="M44" s="95"/>
      <c r="N44" s="95"/>
      <c r="O44" s="95"/>
      <c r="P44" s="95"/>
      <c r="Q44" s="95"/>
      <c r="R44" s="95"/>
      <c r="S44" s="95"/>
      <c r="T44" s="95"/>
      <c r="Y44" s="55"/>
      <c r="Z44" s="55"/>
      <c r="AA44" s="55"/>
    </row>
    <row r="45" spans="2:33" ht="50.1" customHeight="1">
      <c r="B45" s="32"/>
      <c r="C45" s="169" t="s">
        <v>54</v>
      </c>
      <c r="D45" s="169"/>
      <c r="E45" s="44">
        <f>IF(E41+E42-E44="","",E41+E42-E44)</f>
        <v>0</v>
      </c>
      <c r="F45" s="15" t="s">
        <v>173</v>
      </c>
      <c r="G45" s="9" t="s">
        <v>169</v>
      </c>
      <c r="H45" s="46"/>
      <c r="I45" s="46"/>
      <c r="M45" s="170" t="s">
        <v>254</v>
      </c>
      <c r="N45" s="170"/>
      <c r="O45" s="170"/>
      <c r="P45" s="170"/>
      <c r="Q45" s="170"/>
      <c r="R45" s="170"/>
      <c r="S45" s="170"/>
      <c r="T45" s="170"/>
      <c r="Y45" s="55" t="s">
        <v>55</v>
      </c>
      <c r="Z45" s="103">
        <v>3.7</v>
      </c>
      <c r="AA45" s="103">
        <v>17.760000000000002</v>
      </c>
    </row>
    <row r="46" spans="2:33" ht="50.1" customHeight="1">
      <c r="B46" s="32"/>
      <c r="C46" s="151" t="s">
        <v>56</v>
      </c>
      <c r="D46" s="169"/>
      <c r="E46" s="44">
        <f>IF(E45="","",ROUNDDOWN(E45/3,0))</f>
        <v>0</v>
      </c>
      <c r="F46" s="15" t="s">
        <v>174</v>
      </c>
      <c r="G46" s="9" t="s">
        <v>170</v>
      </c>
      <c r="H46" s="120"/>
      <c r="I46" s="120"/>
      <c r="J46" s="5" t="str">
        <f>IF(E15="使用する（今回新たに設置・今回取替）","コージェネレーションシステムを使用する場合は太陽光発電設備・蓄電池の補助は対象外となります。",IF(E15="使用する（従来から設置するものを）","コージェネレーションシステムを使用する場合は太陽光発電設備・蓄電池の補助は対象外となります。",""))</f>
        <v/>
      </c>
      <c r="M46" s="56"/>
      <c r="N46" s="56"/>
      <c r="O46" s="56"/>
      <c r="P46" s="56"/>
      <c r="Q46" s="56"/>
      <c r="R46" s="56"/>
      <c r="S46" s="56"/>
      <c r="T46" s="56"/>
      <c r="Y46" s="55" t="s">
        <v>59</v>
      </c>
      <c r="Z46" s="103">
        <v>2</v>
      </c>
      <c r="AA46" s="103">
        <v>9.6</v>
      </c>
    </row>
    <row r="47" spans="2:33" s="111" customFormat="1" ht="50.1" customHeight="1" thickBot="1">
      <c r="B47" s="117"/>
      <c r="C47" s="154" t="s">
        <v>60</v>
      </c>
      <c r="D47" s="155"/>
      <c r="E47" s="119" t="str">
        <f>IF(E45="","",IF(E38="","",E45/ROUND(E38,2)))</f>
        <v/>
      </c>
      <c r="F47" s="52" t="s">
        <v>225</v>
      </c>
      <c r="G47" s="114" t="s">
        <v>171</v>
      </c>
      <c r="H47" s="164" t="s">
        <v>58</v>
      </c>
      <c r="I47" s="164"/>
      <c r="J47" s="112"/>
      <c r="M47" s="57"/>
      <c r="N47" s="57"/>
      <c r="O47" s="57"/>
      <c r="P47" s="57"/>
      <c r="Q47" s="57"/>
      <c r="R47" s="57"/>
      <c r="S47" s="57"/>
      <c r="T47" s="57"/>
      <c r="X47" s="113"/>
      <c r="Y47" s="123" t="s">
        <v>61</v>
      </c>
      <c r="Z47" s="103">
        <v>3.2</v>
      </c>
      <c r="AA47" s="103">
        <v>15.36</v>
      </c>
    </row>
    <row r="48" spans="2:33" ht="50.1" customHeight="1" thickBot="1">
      <c r="B48" s="32"/>
      <c r="C48" s="154" t="str">
        <f>IF(E39="","機器の選定等において容量あたりの価格が基準となる金額以下になるように努めたか否か","機器の選定等において容量あたりの価格が"&amp;E39&amp;"円/kWh以下になるように努めたか否か")</f>
        <v>機器の選定等において容量あたりの価格が基準となる金額以下になるように努めたか否か</v>
      </c>
      <c r="D48" s="155"/>
      <c r="E48" s="50"/>
      <c r="F48" s="52" t="str">
        <f>IF(E45="","",IF(E47&gt;E39,"蓄電池1kWあたりの補助対象費用（M）が基準（E）を上回る場合は入力必須です。",""))</f>
        <v/>
      </c>
      <c r="G48" s="9" t="s">
        <v>226</v>
      </c>
      <c r="H48" s="35" t="str">
        <f>IF(E35="","",IF(E36="業務用",IF(H30="○",IF(E47=0,"",IF(E47&lt;=E39,"○",IF(E48="努めた","○",""))),""),IF(E36="家庭用",IF(E37="機器登録されている",IF(H30="○",IF(E47=0,"",IF(E47&lt;=E39,"○",IF(E48="努めた","○",""))),""),""))))</f>
        <v/>
      </c>
      <c r="J48" s="5" t="str">
        <f>IF(E48="努めた","",IF(E45="","",IF(E47&gt;E39,"蓄電池1kWあたりの補助対象費用（M）が基準（E）を上回る場合は入力必須です。","")))</f>
        <v/>
      </c>
      <c r="M48" s="57"/>
      <c r="N48" s="57"/>
      <c r="O48" s="57"/>
      <c r="P48" s="57"/>
      <c r="Q48" s="57"/>
      <c r="R48" s="57"/>
      <c r="S48" s="57"/>
      <c r="T48" s="57"/>
      <c r="Y48" s="55" t="s">
        <v>61</v>
      </c>
      <c r="Z48" s="103">
        <v>3.2</v>
      </c>
      <c r="AA48" s="103">
        <v>15.36</v>
      </c>
    </row>
    <row r="49" spans="2:26" ht="50.1" customHeight="1" thickBot="1">
      <c r="B49" s="32"/>
      <c r="C49" s="147" t="s">
        <v>250</v>
      </c>
      <c r="D49" s="148"/>
      <c r="E49" s="47">
        <f>IF(H48="○",IF(E38="",0,ROUNDDOWN(MIN(E40,E46,750000),-3)),0)</f>
        <v>0</v>
      </c>
      <c r="F49" s="48" t="s">
        <v>228</v>
      </c>
      <c r="G49" s="9" t="s">
        <v>227</v>
      </c>
      <c r="J49" s="5" t="str">
        <f>IF(E36="","",IF(H30="○","","蓄電池の補助については太陽光発電設備の補助との併用が要件です。"))</f>
        <v/>
      </c>
      <c r="M49" s="57"/>
      <c r="N49" s="57"/>
      <c r="O49" s="57"/>
      <c r="P49" s="57"/>
      <c r="Q49" s="57"/>
      <c r="R49" s="57"/>
      <c r="S49" s="57"/>
      <c r="T49" s="57"/>
    </row>
    <row r="50" spans="2:26" ht="16.5" customHeight="1">
      <c r="B50" s="32"/>
      <c r="C50" s="36"/>
      <c r="D50" s="36"/>
      <c r="E50" s="49"/>
      <c r="F50" s="38"/>
      <c r="G50" s="9"/>
    </row>
    <row r="51" spans="2:26" ht="16.5" customHeight="1">
      <c r="C51" s="28" t="s">
        <v>62</v>
      </c>
      <c r="D51" s="28"/>
      <c r="E51" s="29"/>
      <c r="F51" s="30"/>
    </row>
    <row r="52" spans="2:26" ht="50.1" customHeight="1">
      <c r="B52" s="32"/>
      <c r="C52" s="151" t="s">
        <v>63</v>
      </c>
      <c r="D52" s="151"/>
      <c r="E52" s="58"/>
      <c r="F52" s="15"/>
      <c r="G52" s="9" t="s">
        <v>37</v>
      </c>
      <c r="J52" s="5" t="str">
        <f>IF(E55+E56=0,"",IF(E52="","メーカー名・型番を入力してください。",""))</f>
        <v/>
      </c>
      <c r="Y52" s="59"/>
      <c r="Z52" s="59"/>
    </row>
    <row r="53" spans="2:26" ht="50.1" customHeight="1">
      <c r="B53" s="32"/>
      <c r="C53" s="151" t="s">
        <v>64</v>
      </c>
      <c r="D53" s="151"/>
      <c r="E53" s="60"/>
      <c r="F53" s="15" t="s">
        <v>133</v>
      </c>
      <c r="G53" s="9" t="s">
        <v>17</v>
      </c>
      <c r="J53" s="5" t="str">
        <f>IF(E55+E56=0,"",IF(E53="","未選択です。選択してください。",IF(E53="","",IF(E54="",IF(Y55="対象外","新設する機器の種類に補助対象外のものが選択されています。",""),IF(Y56="対象外","今回設置する機器の種類・交換前の機器の種類の組み合わせとして補助対象外のものが選択されています。","")))))</f>
        <v/>
      </c>
      <c r="Y53" s="55" t="e">
        <f>VLOOKUP(E53,$Z$121:$AB$135,2,)</f>
        <v>#N/A</v>
      </c>
      <c r="Z53" s="55" t="e">
        <f>VLOOKUP(E53,$Z$121:$AB$135,3,)</f>
        <v>#N/A</v>
      </c>
    </row>
    <row r="54" spans="2:26" ht="50.1" customHeight="1">
      <c r="B54" s="32"/>
      <c r="C54" s="151" t="s">
        <v>65</v>
      </c>
      <c r="D54" s="151"/>
      <c r="E54" s="60"/>
      <c r="F54" s="15" t="s">
        <v>133</v>
      </c>
      <c r="G54" s="9" t="s">
        <v>20</v>
      </c>
      <c r="J54" s="5" t="str">
        <f>IF(E53="","",IF(E54="",IF(Y55="対象外","",""),IF(Y56="対象外","今回設置する機器の種類・交換前の機器の種類の組み合わせとして補助対象外のものが選択されています。","")))</f>
        <v/>
      </c>
      <c r="Y54" s="55" t="e">
        <f>VLOOKUP(E54,$Z$121:$AB$135,2,)</f>
        <v>#N/A</v>
      </c>
      <c r="Z54" s="55" t="e">
        <f>VLOOKUP(E54,$Z$121:$AB$135,3,)</f>
        <v>#N/A</v>
      </c>
    </row>
    <row r="55" spans="2:26" ht="50.1" customHeight="1">
      <c r="B55" s="32"/>
      <c r="C55" s="162" t="s">
        <v>66</v>
      </c>
      <c r="D55" s="163"/>
      <c r="E55" s="45"/>
      <c r="F55" s="15" t="s">
        <v>27</v>
      </c>
      <c r="G55" s="9" t="s">
        <v>40</v>
      </c>
      <c r="L55" s="160" t="s">
        <v>67</v>
      </c>
      <c r="M55" s="161"/>
      <c r="N55" s="161"/>
      <c r="Y55" s="55" t="e">
        <f>IF(E54="",VLOOKUP(E53,'高効率給湯器（新設）'!$A$3:$B$17,2))</f>
        <v>#N/A</v>
      </c>
      <c r="Z55" s="61"/>
    </row>
    <row r="56" spans="2:26" ht="50.1" customHeight="1">
      <c r="B56" s="32"/>
      <c r="C56" s="162" t="s">
        <v>68</v>
      </c>
      <c r="D56" s="163"/>
      <c r="E56" s="45"/>
      <c r="F56" s="15" t="s">
        <v>27</v>
      </c>
      <c r="G56" s="9" t="s">
        <v>41</v>
      </c>
      <c r="L56" s="160" t="s">
        <v>69</v>
      </c>
      <c r="M56" s="161"/>
      <c r="N56" s="161"/>
      <c r="Y56" s="55" t="e">
        <f>INDEX('高効率給湯器（交換）'!$B$2:$P$16,Y54,Y53)</f>
        <v>#N/A</v>
      </c>
    </row>
    <row r="57" spans="2:26" ht="50.1" customHeight="1">
      <c r="B57" s="32"/>
      <c r="C57" s="158" t="s">
        <v>184</v>
      </c>
      <c r="D57" s="159"/>
      <c r="E57" s="97">
        <f>+E55+E56</f>
        <v>0</v>
      </c>
      <c r="F57" s="15" t="s">
        <v>71</v>
      </c>
      <c r="G57" s="9" t="s">
        <v>175</v>
      </c>
      <c r="H57" s="91"/>
      <c r="I57" s="91"/>
      <c r="L57" s="92"/>
      <c r="M57" s="93"/>
      <c r="N57" s="99"/>
      <c r="Y57" s="98"/>
    </row>
    <row r="58" spans="2:26" ht="50.1" customHeight="1" thickBot="1">
      <c r="B58" s="32"/>
      <c r="C58" s="158" t="s">
        <v>187</v>
      </c>
      <c r="D58" s="159"/>
      <c r="E58" s="45"/>
      <c r="F58" s="15" t="s">
        <v>166</v>
      </c>
      <c r="G58" s="9" t="s">
        <v>176</v>
      </c>
      <c r="H58" s="164" t="s">
        <v>32</v>
      </c>
      <c r="I58" s="164"/>
      <c r="L58" s="92"/>
      <c r="M58" s="93"/>
      <c r="N58" s="99"/>
      <c r="Y58" s="98"/>
    </row>
    <row r="59" spans="2:26" ht="50.1" customHeight="1" thickBot="1">
      <c r="B59" s="32"/>
      <c r="C59" s="162" t="s">
        <v>70</v>
      </c>
      <c r="D59" s="163"/>
      <c r="E59" s="44" t="str">
        <f>IF(H59="○",IF(E55+E56-E58=0,"",E55+E56-E58),"")</f>
        <v/>
      </c>
      <c r="F59" s="15" t="s">
        <v>179</v>
      </c>
      <c r="G59" s="9" t="s">
        <v>177</v>
      </c>
      <c r="H59" s="35" t="str">
        <f>IF(H15="○",IF(E13="設置されていなかった（今回設置しない）","",IF(E52="","",IF(E54="",Y55,INDEX('高効率給湯器（交換）'!$B$2:$P$16,Y54,Y53)))),"")</f>
        <v/>
      </c>
      <c r="I59" s="46"/>
      <c r="M59" s="165" t="s">
        <v>49</v>
      </c>
      <c r="N59" s="165"/>
      <c r="O59" s="165"/>
      <c r="P59" s="165"/>
      <c r="Q59" s="165"/>
      <c r="R59" s="165"/>
      <c r="S59" s="165"/>
      <c r="T59" s="165"/>
    </row>
    <row r="60" spans="2:26" ht="50.1" customHeight="1" thickBot="1">
      <c r="B60" s="32"/>
      <c r="C60" s="149" t="s">
        <v>160</v>
      </c>
      <c r="D60" s="150"/>
      <c r="E60" s="47">
        <f>IF(H59="○",IF(E59="",0,IF(E59*0.5&lt;200000,ROUNDDOWN(E59*0.5,-3),200000)),0)</f>
        <v>0</v>
      </c>
      <c r="F60" s="48" t="s">
        <v>27</v>
      </c>
      <c r="G60" s="9" t="s">
        <v>178</v>
      </c>
      <c r="J60" s="5" t="str">
        <f>IF(E13="設置されていなかった（今回設置しない）","太陽光発電設備が設置されない場合は高効率給湯器は対象外となります。","")</f>
        <v/>
      </c>
    </row>
    <row r="61" spans="2:26" ht="15.75" customHeight="1">
      <c r="B61" s="32"/>
      <c r="C61" s="36"/>
      <c r="D61" s="36"/>
      <c r="E61" s="49"/>
      <c r="F61" s="38"/>
      <c r="G61" s="9"/>
    </row>
    <row r="62" spans="2:26" ht="16.5" customHeight="1">
      <c r="C62" s="62" t="s">
        <v>134</v>
      </c>
      <c r="D62" s="28"/>
      <c r="E62" s="29"/>
      <c r="F62" s="30"/>
    </row>
    <row r="63" spans="2:26" ht="50.1" customHeight="1">
      <c r="B63" s="32"/>
      <c r="C63" s="151" t="s">
        <v>72</v>
      </c>
      <c r="D63" s="151"/>
      <c r="E63" s="41"/>
      <c r="F63" s="15"/>
      <c r="G63" s="9" t="s">
        <v>37</v>
      </c>
      <c r="J63" s="5" t="str">
        <f>IF(E66+E67=0,"",IF(E63="","メーカー名・型番を入力してください。",""))</f>
        <v/>
      </c>
    </row>
    <row r="64" spans="2:26" ht="50.1" customHeight="1">
      <c r="B64" s="32"/>
      <c r="C64" s="151" t="s">
        <v>73</v>
      </c>
      <c r="D64" s="151"/>
      <c r="E64" s="41"/>
      <c r="F64" s="15"/>
      <c r="G64" s="9" t="s">
        <v>38</v>
      </c>
      <c r="J64" s="53"/>
      <c r="K64" s="160" t="s">
        <v>74</v>
      </c>
      <c r="L64" s="161"/>
      <c r="M64" s="161"/>
      <c r="N64" s="161"/>
      <c r="O64" s="54" t="s">
        <v>75</v>
      </c>
    </row>
    <row r="65" spans="2:20" ht="50.1" customHeight="1">
      <c r="B65" s="32"/>
      <c r="C65" s="151" t="s">
        <v>76</v>
      </c>
      <c r="D65" s="151"/>
      <c r="E65" s="50"/>
      <c r="F65" s="15"/>
      <c r="G65" s="9" t="s">
        <v>39</v>
      </c>
      <c r="J65" s="5" t="str">
        <f>IF(E66+E67=0,"",IF(E65="機器登録されていない","機器登録されていない型番は補助対象外です。",IF(E65="","未選択です。選択してください。","")))</f>
        <v/>
      </c>
    </row>
    <row r="66" spans="2:20" ht="50.1" customHeight="1">
      <c r="B66" s="32"/>
      <c r="C66" s="162" t="s">
        <v>77</v>
      </c>
      <c r="D66" s="163"/>
      <c r="E66" s="45"/>
      <c r="F66" s="15" t="s">
        <v>27</v>
      </c>
      <c r="G66" s="9" t="s">
        <v>40</v>
      </c>
      <c r="J66" s="5" t="str">
        <f>IF(E15="使用する（従来から設置するものを）","従来から設置するものを引き続き使用する場合は対象外となります。","")</f>
        <v/>
      </c>
    </row>
    <row r="67" spans="2:20" ht="50.1" customHeight="1">
      <c r="B67" s="32"/>
      <c r="C67" s="162" t="s">
        <v>78</v>
      </c>
      <c r="D67" s="163"/>
      <c r="E67" s="45"/>
      <c r="F67" s="15" t="s">
        <v>27</v>
      </c>
      <c r="G67" s="9" t="s">
        <v>41</v>
      </c>
      <c r="J67" s="5" t="str">
        <f>IF(E13="設置されていなかった（今回設置しない）","太陽光発電設備が設置されない場合はコージェネレーションシステムは対象外となります。","")</f>
        <v/>
      </c>
    </row>
    <row r="68" spans="2:20" ht="50.1" customHeight="1">
      <c r="B68" s="32"/>
      <c r="C68" s="158" t="s">
        <v>184</v>
      </c>
      <c r="D68" s="159"/>
      <c r="E68" s="97">
        <f>+E66+E67</f>
        <v>0</v>
      </c>
      <c r="F68" s="15" t="s">
        <v>166</v>
      </c>
      <c r="G68" s="9" t="s">
        <v>180</v>
      </c>
      <c r="H68" s="91"/>
      <c r="I68" s="91"/>
    </row>
    <row r="69" spans="2:20" ht="50.1" customHeight="1" thickBot="1">
      <c r="B69" s="32"/>
      <c r="C69" s="158" t="s">
        <v>187</v>
      </c>
      <c r="D69" s="159"/>
      <c r="E69" s="45"/>
      <c r="F69" s="15" t="s">
        <v>166</v>
      </c>
      <c r="G69" s="9" t="s">
        <v>181</v>
      </c>
      <c r="H69" s="164" t="s">
        <v>32</v>
      </c>
      <c r="I69" s="164"/>
    </row>
    <row r="70" spans="2:20" ht="50.1" customHeight="1" thickBot="1">
      <c r="B70" s="32"/>
      <c r="C70" s="154" t="s">
        <v>79</v>
      </c>
      <c r="D70" s="155"/>
      <c r="E70" s="44" t="str">
        <f>IF(H70="○",IF(E66+E67-E69=0,"",E66+E67-E69),"")</f>
        <v/>
      </c>
      <c r="F70" s="15" t="s">
        <v>179</v>
      </c>
      <c r="G70" s="9" t="s">
        <v>177</v>
      </c>
      <c r="H70" s="35" t="str">
        <f>IF(H15="○",IF(E15="使用する（従来から設置するものを）","",IF(E13="設置されていなかった（今回設置しない）","",IF(E15="使用しない","",IF(E63="","",IF(E65="機器登録されている","○",""))))),"")</f>
        <v/>
      </c>
      <c r="I70" s="46"/>
      <c r="J70" s="5" t="str">
        <f>IF(E66+E67=0,"",IF(E15="使用しない","「１」でコージェネについて「使用しない」を選択している。",""))</f>
        <v/>
      </c>
      <c r="M70" s="56"/>
      <c r="N70" s="56"/>
      <c r="O70" s="56"/>
      <c r="P70" s="56"/>
      <c r="Q70" s="56"/>
      <c r="R70" s="56"/>
      <c r="S70" s="56"/>
      <c r="T70" s="56"/>
    </row>
    <row r="71" spans="2:20" ht="50.1" customHeight="1" thickBot="1">
      <c r="B71" s="32"/>
      <c r="C71" s="149" t="s">
        <v>80</v>
      </c>
      <c r="D71" s="150"/>
      <c r="E71" s="47">
        <f>IF(H70="○",IF(E70="",0,IF(E70*0.5&lt;500000,ROUNDDOWN(E70*0.5,-3),500000)),0)</f>
        <v>0</v>
      </c>
      <c r="F71" s="48" t="s">
        <v>27</v>
      </c>
      <c r="G71" s="9" t="s">
        <v>182</v>
      </c>
      <c r="M71" s="165" t="s">
        <v>49</v>
      </c>
      <c r="N71" s="165"/>
      <c r="O71" s="165"/>
      <c r="P71" s="165"/>
      <c r="Q71" s="165"/>
      <c r="R71" s="165"/>
      <c r="S71" s="165"/>
      <c r="T71" s="165"/>
    </row>
    <row r="72" spans="2:20" ht="15.75" customHeight="1">
      <c r="B72" s="32"/>
      <c r="C72" s="36"/>
      <c r="D72" s="36"/>
      <c r="E72" s="49"/>
      <c r="F72" s="38"/>
      <c r="G72" s="9"/>
    </row>
    <row r="73" spans="2:20" ht="16.5" customHeight="1">
      <c r="C73" s="62" t="s">
        <v>135</v>
      </c>
      <c r="D73" s="28"/>
      <c r="E73" s="29"/>
      <c r="F73" s="30"/>
    </row>
    <row r="74" spans="2:20" ht="50.1" customHeight="1">
      <c r="B74" s="32"/>
      <c r="C74" s="151" t="s">
        <v>137</v>
      </c>
      <c r="D74" s="151"/>
      <c r="E74" s="96"/>
      <c r="F74" s="15"/>
      <c r="G74" s="9" t="s">
        <v>37</v>
      </c>
      <c r="J74" s="5" t="str">
        <f>IF($E$82=0,"",IF(E74="","ブランド（メーカー）を入力してください。",""))</f>
        <v/>
      </c>
      <c r="K74" s="89"/>
      <c r="O74" s="54"/>
    </row>
    <row r="75" spans="2:20" ht="50.1" customHeight="1">
      <c r="B75" s="32"/>
      <c r="C75" s="151" t="s">
        <v>138</v>
      </c>
      <c r="D75" s="151"/>
      <c r="E75" s="96"/>
      <c r="F75" s="15"/>
      <c r="G75" s="9" t="s">
        <v>146</v>
      </c>
      <c r="J75" s="5" t="str">
        <f>IF($E$82=0,"",IF(E75="","車名を入力してください。",""))</f>
        <v/>
      </c>
    </row>
    <row r="76" spans="2:20" ht="50.1" customHeight="1">
      <c r="B76" s="32"/>
      <c r="C76" s="151" t="s">
        <v>139</v>
      </c>
      <c r="D76" s="151"/>
      <c r="E76" s="96"/>
      <c r="F76" s="15"/>
      <c r="G76" s="9" t="s">
        <v>147</v>
      </c>
      <c r="J76" s="5" t="str">
        <f>IF($E$82=0,"",IF(E76="","グレードを入力してください。",""))</f>
        <v/>
      </c>
    </row>
    <row r="77" spans="2:20" ht="50.1" customHeight="1">
      <c r="B77" s="32"/>
      <c r="C77" s="151" t="s">
        <v>199</v>
      </c>
      <c r="D77" s="151"/>
      <c r="E77" s="90"/>
      <c r="F77" s="101" t="s">
        <v>209</v>
      </c>
      <c r="G77" s="9" t="s">
        <v>148</v>
      </c>
      <c r="J77" s="5" t="str">
        <f>IF($E$82=0,"",IF(E77="","CEV補助金の「銘柄ごとの補助金交付額」を入力してください。",""))</f>
        <v/>
      </c>
      <c r="M77" s="89" t="s">
        <v>140</v>
      </c>
      <c r="P77" s="54" t="s">
        <v>141</v>
      </c>
    </row>
    <row r="78" spans="2:20" ht="50.1" customHeight="1">
      <c r="B78" s="32"/>
      <c r="C78" s="151" t="s">
        <v>188</v>
      </c>
      <c r="D78" s="151"/>
      <c r="E78" s="100"/>
      <c r="F78" s="15"/>
      <c r="G78" s="9" t="s">
        <v>25</v>
      </c>
      <c r="J78" s="5" t="str">
        <f>IF($E$82=0,"",IF(E78="","プルダウンから選択してください。",IF(E78="電気自動車","","補助対象外です。")))</f>
        <v/>
      </c>
      <c r="M78" s="89" t="s">
        <v>140</v>
      </c>
      <c r="P78" s="54" t="s">
        <v>141</v>
      </c>
    </row>
    <row r="79" spans="2:20" ht="50.1" customHeight="1">
      <c r="B79" s="32"/>
      <c r="C79" s="151" t="s">
        <v>206</v>
      </c>
      <c r="D79" s="151"/>
      <c r="E79" s="100"/>
      <c r="F79" s="15"/>
      <c r="G79" s="9" t="s">
        <v>189</v>
      </c>
      <c r="J79" s="5" t="str">
        <f>IF(E79="不可","補助対象外です。",IF($E$82=0,"",IF(E79="","プルダウンから選択してください。","")))</f>
        <v/>
      </c>
      <c r="M79" s="89" t="s">
        <v>140</v>
      </c>
      <c r="P79" s="54" t="s">
        <v>141</v>
      </c>
    </row>
    <row r="80" spans="2:20" ht="50.1" customHeight="1">
      <c r="B80" s="32"/>
      <c r="C80" s="151" t="s">
        <v>186</v>
      </c>
      <c r="D80" s="151"/>
      <c r="E80" s="100"/>
      <c r="F80" s="15" t="s">
        <v>142</v>
      </c>
      <c r="G80" s="9" t="s">
        <v>190</v>
      </c>
      <c r="J80" s="5" t="str">
        <f>IF($E$82=0,"",IF(E80="","電池容量を入力してください。",""))</f>
        <v/>
      </c>
      <c r="K80" s="166"/>
      <c r="L80" s="167"/>
      <c r="M80" s="167"/>
      <c r="N80" s="167"/>
      <c r="O80" s="54"/>
    </row>
    <row r="81" spans="2:20" ht="50.1" customHeight="1">
      <c r="B81" s="32"/>
      <c r="C81" s="151" t="s">
        <v>144</v>
      </c>
      <c r="D81" s="151"/>
      <c r="E81" s="97" t="str">
        <f>IF(E74="","",E80*0.5*40000)</f>
        <v/>
      </c>
      <c r="F81" s="15" t="s">
        <v>166</v>
      </c>
      <c r="G81" s="9" t="s">
        <v>191</v>
      </c>
    </row>
    <row r="82" spans="2:20" ht="50.1" customHeight="1">
      <c r="B82" s="32"/>
      <c r="C82" s="162" t="s">
        <v>143</v>
      </c>
      <c r="D82" s="163"/>
      <c r="E82" s="45"/>
      <c r="F82" s="15" t="s">
        <v>27</v>
      </c>
      <c r="G82" s="9" t="s">
        <v>192</v>
      </c>
      <c r="J82" s="5" t="str">
        <f>IF($E$82=0,"",IF(E82="","購入費を入力してください。",""))</f>
        <v/>
      </c>
    </row>
    <row r="83" spans="2:20" ht="50.1" customHeight="1">
      <c r="B83" s="32"/>
      <c r="C83" s="158" t="s">
        <v>184</v>
      </c>
      <c r="D83" s="159"/>
      <c r="E83" s="97">
        <f>+E82</f>
        <v>0</v>
      </c>
      <c r="F83" s="15" t="s">
        <v>197</v>
      </c>
      <c r="G83" s="9" t="s">
        <v>193</v>
      </c>
      <c r="H83" s="91"/>
      <c r="I83" s="91"/>
    </row>
    <row r="84" spans="2:20" ht="50.1" customHeight="1" thickBot="1">
      <c r="B84" s="32"/>
      <c r="C84" s="158" t="s">
        <v>187</v>
      </c>
      <c r="D84" s="159"/>
      <c r="E84" s="45"/>
      <c r="F84" s="15" t="s">
        <v>166</v>
      </c>
      <c r="G84" s="9" t="s">
        <v>194</v>
      </c>
      <c r="H84" s="164" t="s">
        <v>32</v>
      </c>
      <c r="I84" s="164"/>
    </row>
    <row r="85" spans="2:20" ht="50.1" customHeight="1" thickBot="1">
      <c r="B85" s="32"/>
      <c r="C85" s="162" t="s">
        <v>145</v>
      </c>
      <c r="D85" s="163"/>
      <c r="E85" s="44" t="str">
        <f>IF(H85="○",E82-E84,"")</f>
        <v/>
      </c>
      <c r="F85" s="15" t="s">
        <v>198</v>
      </c>
      <c r="G85" s="9" t="s">
        <v>195</v>
      </c>
      <c r="H85" s="35" t="str">
        <f>IF(E77="","",IF(E79="","",IF(E79="不可","",IF(H30="○",IF(E74="","",IF(E78="電気自動車","○","")),""))))</f>
        <v/>
      </c>
      <c r="I85" s="85"/>
      <c r="J85" s="5" t="str">
        <f>IF(E78="","",IF(H30="○","","電気自動車の補助については太陽光発電設備の補助との併用が要件です。"))</f>
        <v/>
      </c>
      <c r="M85" s="86"/>
      <c r="N85" s="86"/>
      <c r="O85" s="86"/>
      <c r="P85" s="86"/>
      <c r="Q85" s="86"/>
      <c r="R85" s="86"/>
      <c r="S85" s="86"/>
      <c r="T85" s="86"/>
    </row>
    <row r="86" spans="2:20" ht="50.1" customHeight="1" thickBot="1">
      <c r="B86" s="32"/>
      <c r="C86" s="149" t="s">
        <v>149</v>
      </c>
      <c r="D86" s="150"/>
      <c r="E86" s="47">
        <f>IF(H85="○",IF(E85="",0,MIN(ROUNDDOWN(E80*0.5*40000,-3),850000,E77*1000)),0)</f>
        <v>0</v>
      </c>
      <c r="F86" s="48" t="s">
        <v>27</v>
      </c>
      <c r="G86" s="9" t="s">
        <v>196</v>
      </c>
      <c r="M86" s="165" t="s">
        <v>49</v>
      </c>
      <c r="N86" s="165"/>
      <c r="O86" s="165"/>
      <c r="P86" s="165"/>
      <c r="Q86" s="165"/>
      <c r="R86" s="165"/>
      <c r="S86" s="165"/>
      <c r="T86" s="165"/>
    </row>
    <row r="87" spans="2:20" ht="15.75" customHeight="1">
      <c r="B87" s="32"/>
      <c r="C87" s="36"/>
      <c r="D87" s="36"/>
      <c r="E87" s="49"/>
      <c r="F87" s="38"/>
      <c r="G87" s="9"/>
    </row>
    <row r="88" spans="2:20" ht="16.5" customHeight="1">
      <c r="C88" s="62" t="s">
        <v>136</v>
      </c>
      <c r="D88" s="28"/>
      <c r="E88" s="29"/>
      <c r="F88" s="30"/>
    </row>
    <row r="89" spans="2:20" ht="50.1" customHeight="1">
      <c r="B89" s="32"/>
      <c r="C89" s="151" t="s">
        <v>152</v>
      </c>
      <c r="D89" s="151"/>
      <c r="E89" s="96"/>
      <c r="F89" s="15"/>
      <c r="G89" s="9" t="s">
        <v>37</v>
      </c>
      <c r="J89" s="5" t="str">
        <f>IF($E$94+$E$95=0,"",IF(E89="",C89&amp;"を入力してください。",""))</f>
        <v/>
      </c>
      <c r="K89" s="89"/>
      <c r="O89" s="54"/>
    </row>
    <row r="90" spans="2:20" ht="50.1" customHeight="1">
      <c r="B90" s="32"/>
      <c r="C90" s="151" t="s">
        <v>153</v>
      </c>
      <c r="D90" s="151"/>
      <c r="E90" s="96"/>
      <c r="F90" s="15"/>
      <c r="G90" s="9" t="s">
        <v>146</v>
      </c>
      <c r="J90" s="5" t="str">
        <f t="shared" ref="J90:J95" si="0">IF($E$94+$E$95=0,"",IF(E90="",C90&amp;"を入力してください。",""))</f>
        <v/>
      </c>
    </row>
    <row r="91" spans="2:20" ht="50.1" customHeight="1">
      <c r="B91" s="32"/>
      <c r="C91" s="151" t="s">
        <v>154</v>
      </c>
      <c r="D91" s="151"/>
      <c r="E91" s="96"/>
      <c r="F91" s="15" t="s">
        <v>208</v>
      </c>
      <c r="G91" s="9" t="s">
        <v>147</v>
      </c>
      <c r="J91" s="5" t="str">
        <f t="shared" si="0"/>
        <v/>
      </c>
    </row>
    <row r="92" spans="2:20" ht="50.1" customHeight="1">
      <c r="B92" s="32"/>
      <c r="C92" s="151" t="s">
        <v>200</v>
      </c>
      <c r="D92" s="151"/>
      <c r="E92" s="100"/>
      <c r="F92" s="15"/>
      <c r="G92" s="9" t="s">
        <v>22</v>
      </c>
      <c r="J92" s="5" t="str">
        <f>IF($E$94+$E$95=0,"",IF(E92="","プルダウンから選択してください。",IF(E92="V2H充放電設備","","補助対象外です。")))</f>
        <v/>
      </c>
      <c r="M92" s="89" t="s">
        <v>140</v>
      </c>
      <c r="P92" s="54" t="s">
        <v>141</v>
      </c>
    </row>
    <row r="93" spans="2:20" ht="50.1" customHeight="1">
      <c r="B93" s="32"/>
      <c r="C93" s="151" t="s">
        <v>201</v>
      </c>
      <c r="D93" s="151"/>
      <c r="E93" s="90"/>
      <c r="F93" s="101" t="s">
        <v>207</v>
      </c>
      <c r="G93" s="9" t="s">
        <v>202</v>
      </c>
      <c r="J93" s="156" t="str">
        <f t="shared" si="0"/>
        <v/>
      </c>
      <c r="K93" s="156"/>
      <c r="L93" s="156"/>
      <c r="M93" s="89" t="s">
        <v>140</v>
      </c>
      <c r="P93" s="54" t="s">
        <v>141</v>
      </c>
    </row>
    <row r="94" spans="2:20" ht="50.1" customHeight="1">
      <c r="B94" s="32"/>
      <c r="C94" s="162" t="s">
        <v>155</v>
      </c>
      <c r="D94" s="163"/>
      <c r="E94" s="45"/>
      <c r="F94" s="15" t="s">
        <v>27</v>
      </c>
      <c r="G94" s="9" t="s">
        <v>203</v>
      </c>
      <c r="J94" s="5" t="str">
        <f t="shared" si="0"/>
        <v/>
      </c>
    </row>
    <row r="95" spans="2:20" ht="50.1" customHeight="1">
      <c r="B95" s="32"/>
      <c r="C95" s="162" t="s">
        <v>156</v>
      </c>
      <c r="D95" s="163"/>
      <c r="E95" s="45"/>
      <c r="F95" s="15" t="s">
        <v>27</v>
      </c>
      <c r="G95" s="9" t="s">
        <v>190</v>
      </c>
      <c r="J95" s="5" t="str">
        <f t="shared" si="0"/>
        <v/>
      </c>
    </row>
    <row r="96" spans="2:20" ht="50.1" customHeight="1">
      <c r="B96" s="32"/>
      <c r="C96" s="158" t="s">
        <v>184</v>
      </c>
      <c r="D96" s="159"/>
      <c r="E96" s="97">
        <f>+E94+E95</f>
        <v>0</v>
      </c>
      <c r="F96" s="15" t="s">
        <v>183</v>
      </c>
      <c r="G96" s="9" t="s">
        <v>191</v>
      </c>
      <c r="H96" s="91"/>
      <c r="I96" s="91"/>
    </row>
    <row r="97" spans="2:24" ht="50.1" customHeight="1" thickBot="1">
      <c r="B97" s="32"/>
      <c r="C97" s="158" t="s">
        <v>187</v>
      </c>
      <c r="D97" s="159"/>
      <c r="E97" s="45"/>
      <c r="F97" s="15" t="s">
        <v>166</v>
      </c>
      <c r="G97" s="9" t="s">
        <v>192</v>
      </c>
      <c r="H97" s="164" t="s">
        <v>157</v>
      </c>
      <c r="I97" s="164"/>
    </row>
    <row r="98" spans="2:24" ht="50.1" customHeight="1" thickBot="1">
      <c r="B98" s="32"/>
      <c r="C98" s="162" t="s">
        <v>158</v>
      </c>
      <c r="D98" s="163"/>
      <c r="E98" s="44" t="str">
        <f>IF(H98="○",E94+E95-E97,"")</f>
        <v/>
      </c>
      <c r="F98" s="15" t="s">
        <v>205</v>
      </c>
      <c r="G98" s="9" t="s">
        <v>193</v>
      </c>
      <c r="H98" s="35" t="str">
        <f>IF(E93="","",IF(H85="○",IF(H30="○",IF(E89="","",IF(E92="V2H充放電設備","○","")),""),""))</f>
        <v/>
      </c>
      <c r="I98" s="88"/>
      <c r="J98" s="5" t="str">
        <f>IF(E92="","",IF(H30="○","","充放電設備の補助については太陽光発電設備及び電気自動車の補助との併用が要件です。"))</f>
        <v/>
      </c>
      <c r="M98" s="87"/>
      <c r="N98" s="87"/>
      <c r="O98" s="87"/>
      <c r="P98" s="87"/>
      <c r="Q98" s="87"/>
      <c r="R98" s="87"/>
      <c r="S98" s="87"/>
      <c r="T98" s="87"/>
    </row>
    <row r="99" spans="2:24" ht="50.1" customHeight="1" thickBot="1">
      <c r="B99" s="32"/>
      <c r="C99" s="149" t="s">
        <v>159</v>
      </c>
      <c r="D99" s="150"/>
      <c r="E99" s="47">
        <f>IF(H98="○",IF(E98="",0,MIN(ROUNDDOWN(E98*0.5,-3),1500000)),0)</f>
        <v>0</v>
      </c>
      <c r="F99" s="48" t="s">
        <v>27</v>
      </c>
      <c r="G99" s="9" t="s">
        <v>204</v>
      </c>
      <c r="M99" s="165" t="s">
        <v>49</v>
      </c>
      <c r="N99" s="165"/>
      <c r="O99" s="165"/>
      <c r="P99" s="165"/>
      <c r="Q99" s="165"/>
      <c r="R99" s="165"/>
      <c r="S99" s="165"/>
      <c r="T99" s="165"/>
    </row>
    <row r="100" spans="2:24" ht="15.75" customHeight="1">
      <c r="B100" s="32"/>
      <c r="C100" s="36"/>
      <c r="D100" s="36"/>
      <c r="E100" s="49"/>
      <c r="F100" s="38"/>
      <c r="G100" s="9"/>
    </row>
    <row r="101" spans="2:24" ht="15.75" customHeight="1">
      <c r="B101" s="32"/>
      <c r="C101" s="36"/>
      <c r="D101" s="36"/>
      <c r="E101" s="49"/>
      <c r="F101" s="38"/>
      <c r="G101" s="9"/>
    </row>
    <row r="102" spans="2:24" ht="16.5" customHeight="1" thickBot="1">
      <c r="B102" s="63" t="s">
        <v>81</v>
      </c>
      <c r="C102" s="1"/>
      <c r="D102" s="64"/>
      <c r="E102" s="65"/>
      <c r="F102" s="66"/>
      <c r="G102" s="9"/>
      <c r="H102" s="21" t="s">
        <v>83</v>
      </c>
      <c r="I102" s="67"/>
      <c r="O102" s="56"/>
      <c r="P102" s="56"/>
      <c r="Q102" s="56"/>
      <c r="R102" s="56"/>
      <c r="S102" s="56"/>
      <c r="T102" s="56"/>
    </row>
    <row r="103" spans="2:24" ht="50.1" customHeight="1" thickBot="1">
      <c r="B103" s="32"/>
      <c r="C103" s="147" t="s">
        <v>86</v>
      </c>
      <c r="D103" s="148"/>
      <c r="E103" s="127"/>
      <c r="F103" s="122"/>
      <c r="G103" s="114" t="s">
        <v>82</v>
      </c>
      <c r="H103" s="35" t="str">
        <f>IF(E103="","",IF(E103="３０％以上となる見込み","○",""))</f>
        <v/>
      </c>
      <c r="J103" s="5" t="str">
        <f>IF(E103="３０％以上となる見込み","","自家消費率が３０％以上となり、それが法定耐用年数（１７年）が経過するまでの期間維持されると見込まれることが太陽光発電設備の補助の要件です。")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3" s="68"/>
      <c r="N103" s="68"/>
      <c r="O103" s="68"/>
      <c r="P103" s="68"/>
      <c r="Q103" s="68"/>
      <c r="R103" s="68"/>
      <c r="S103" s="68"/>
      <c r="T103" s="68"/>
    </row>
    <row r="105" spans="2:24" ht="16.5" customHeight="1">
      <c r="B105" s="69" t="s">
        <v>88</v>
      </c>
      <c r="C105" s="1"/>
      <c r="D105" s="69"/>
      <c r="E105" s="29"/>
      <c r="F105" s="30"/>
    </row>
    <row r="106" spans="2:24" ht="49.5" customHeight="1">
      <c r="C106" s="151" t="s">
        <v>215</v>
      </c>
      <c r="D106" s="151"/>
      <c r="E106" s="70">
        <f>+E31</f>
        <v>0</v>
      </c>
      <c r="F106" s="15" t="s">
        <v>48</v>
      </c>
      <c r="G106" s="31" t="s">
        <v>37</v>
      </c>
    </row>
    <row r="107" spans="2:24" s="111" customFormat="1" ht="49.5" customHeight="1">
      <c r="C107" s="151" t="s">
        <v>220</v>
      </c>
      <c r="D107" s="151"/>
      <c r="E107" s="124">
        <f>+E32</f>
        <v>0</v>
      </c>
      <c r="F107" s="115" t="s">
        <v>48</v>
      </c>
      <c r="G107" s="116" t="s">
        <v>84</v>
      </c>
      <c r="J107" s="112"/>
      <c r="X107" s="113"/>
    </row>
    <row r="108" spans="2:24" ht="49.5" customHeight="1">
      <c r="C108" s="151" t="s">
        <v>89</v>
      </c>
      <c r="D108" s="151"/>
      <c r="E108" s="70">
        <f>+E49</f>
        <v>0</v>
      </c>
      <c r="F108" s="15" t="s">
        <v>48</v>
      </c>
      <c r="G108" s="31" t="s">
        <v>85</v>
      </c>
    </row>
    <row r="109" spans="2:24" ht="49.5" customHeight="1">
      <c r="C109" s="151" t="s">
        <v>90</v>
      </c>
      <c r="D109" s="151"/>
      <c r="E109" s="70">
        <f>+E60</f>
        <v>0</v>
      </c>
      <c r="F109" s="15" t="s">
        <v>48</v>
      </c>
      <c r="G109" s="31" t="s">
        <v>87</v>
      </c>
    </row>
    <row r="110" spans="2:24" ht="49.5" customHeight="1">
      <c r="C110" s="157" t="s">
        <v>91</v>
      </c>
      <c r="D110" s="157"/>
      <c r="E110" s="71">
        <f>+E71</f>
        <v>0</v>
      </c>
      <c r="F110" s="72" t="s">
        <v>48</v>
      </c>
      <c r="G110" s="31" t="s">
        <v>202</v>
      </c>
    </row>
    <row r="111" spans="2:24" ht="49.5" customHeight="1">
      <c r="C111" s="157" t="s">
        <v>150</v>
      </c>
      <c r="D111" s="157"/>
      <c r="E111" s="71">
        <f>E86</f>
        <v>0</v>
      </c>
      <c r="F111" s="72" t="s">
        <v>48</v>
      </c>
      <c r="G111" s="31" t="s">
        <v>203</v>
      </c>
    </row>
    <row r="112" spans="2:24" ht="49.5" customHeight="1" thickBot="1">
      <c r="C112" s="157" t="s">
        <v>151</v>
      </c>
      <c r="D112" s="157"/>
      <c r="E112" s="71">
        <f>E99</f>
        <v>0</v>
      </c>
      <c r="F112" s="72" t="s">
        <v>48</v>
      </c>
      <c r="G112" s="31" t="s">
        <v>190</v>
      </c>
    </row>
    <row r="113" spans="3:28" s="111" customFormat="1" ht="49.5" customHeight="1" thickBot="1">
      <c r="C113" s="152" t="s">
        <v>92</v>
      </c>
      <c r="D113" s="153"/>
      <c r="E113" s="125">
        <f>SUM(E106:E112)</f>
        <v>0</v>
      </c>
      <c r="F113" s="122" t="s">
        <v>221</v>
      </c>
      <c r="G113" s="116" t="s">
        <v>216</v>
      </c>
      <c r="W113" s="113"/>
    </row>
    <row r="114" spans="3:28" ht="49.5" customHeight="1" thickBot="1">
      <c r="C114" s="152" t="s">
        <v>222</v>
      </c>
      <c r="D114" s="153"/>
      <c r="E114" s="73">
        <f>+E106+E108+E109+E110+E111+E112</f>
        <v>0</v>
      </c>
      <c r="F114" s="48" t="s">
        <v>218</v>
      </c>
      <c r="G114" s="31" t="s">
        <v>217</v>
      </c>
      <c r="J114" s="1"/>
      <c r="W114" s="6"/>
      <c r="X114" s="1"/>
    </row>
    <row r="115" spans="3:28" s="111" customFormat="1" ht="49.5" customHeight="1" thickBot="1">
      <c r="C115" s="152" t="s">
        <v>223</v>
      </c>
      <c r="D115" s="153"/>
      <c r="E115" s="125">
        <f>+E107</f>
        <v>0</v>
      </c>
      <c r="F115" s="122" t="s">
        <v>219</v>
      </c>
      <c r="G115" s="116" t="s">
        <v>224</v>
      </c>
      <c r="J115" s="126"/>
      <c r="X115" s="113"/>
    </row>
    <row r="121" spans="3:28">
      <c r="Z121" s="55" t="str">
        <f>AA121&amp;AB121</f>
        <v>1ガス従来型給湯機</v>
      </c>
      <c r="AA121" s="55">
        <v>1</v>
      </c>
      <c r="AB121" s="55" t="s">
        <v>93</v>
      </c>
    </row>
    <row r="122" spans="3:28">
      <c r="Z122" s="55" t="str">
        <f t="shared" ref="Z122:Z135" si="1">AA122&amp;AB122</f>
        <v>2ガス潜熱回収型給湯機（エコジョーズ）</v>
      </c>
      <c r="AA122" s="55">
        <v>2</v>
      </c>
      <c r="AB122" s="55" t="s">
        <v>94</v>
      </c>
    </row>
    <row r="123" spans="3:28">
      <c r="Z123" s="55" t="str">
        <f t="shared" si="1"/>
        <v>3石油従来型給湯機</v>
      </c>
      <c r="AA123" s="55">
        <v>3</v>
      </c>
      <c r="AB123" s="55" t="s">
        <v>95</v>
      </c>
    </row>
    <row r="124" spans="3:28">
      <c r="Z124" s="55" t="str">
        <f t="shared" si="1"/>
        <v>4石油潜熱回収型給湯機</v>
      </c>
      <c r="AA124" s="55">
        <v>4</v>
      </c>
      <c r="AB124" s="55" t="s">
        <v>96</v>
      </c>
    </row>
    <row r="125" spans="3:28">
      <c r="Z125" s="55" t="str">
        <f t="shared" si="1"/>
        <v>5電気ヒーター給湯機</v>
      </c>
      <c r="AA125" s="55">
        <v>5</v>
      </c>
      <c r="AB125" s="55" t="s">
        <v>97</v>
      </c>
    </row>
    <row r="126" spans="3:28">
      <c r="Z126" s="55" t="str">
        <f t="shared" si="1"/>
        <v>6電気ヒートポンプ給湯機（CO2冷媒）（太陽熱利用設備を使用しないもの）（エコキュート）</v>
      </c>
      <c r="AA126" s="55">
        <v>6</v>
      </c>
      <c r="AB126" s="55" t="s">
        <v>98</v>
      </c>
    </row>
    <row r="127" spans="3:28">
      <c r="Z127" s="55" t="str">
        <f t="shared" si="1"/>
        <v>7電気ヒートポンプ・ガス瞬間式併用型給湯機（ハイブリッド）</v>
      </c>
      <c r="AA127" s="55">
        <v>7</v>
      </c>
      <c r="AB127" s="55" t="s">
        <v>99</v>
      </c>
    </row>
    <row r="128" spans="3:28">
      <c r="Z128" s="55" t="str">
        <f t="shared" si="1"/>
        <v>8ガス従来型給湯温水暖房機</v>
      </c>
      <c r="AA128" s="55">
        <v>8</v>
      </c>
      <c r="AB128" s="55" t="s">
        <v>100</v>
      </c>
    </row>
    <row r="129" spans="26:28">
      <c r="Z129" s="55" t="str">
        <f t="shared" si="1"/>
        <v>9ガス潜熱回収型給湯温水暖房機</v>
      </c>
      <c r="AA129" s="55">
        <v>9</v>
      </c>
      <c r="AB129" s="55" t="s">
        <v>101</v>
      </c>
    </row>
    <row r="130" spans="26:28">
      <c r="Z130" s="55" t="str">
        <f t="shared" si="1"/>
        <v>10石油従来型給湯温水暖房機</v>
      </c>
      <c r="AA130" s="55">
        <v>10</v>
      </c>
      <c r="AB130" s="55" t="s">
        <v>102</v>
      </c>
    </row>
    <row r="131" spans="26:28">
      <c r="Z131" s="55" t="str">
        <f t="shared" si="1"/>
        <v>11石油潜熱回収型給湯温水暖房機</v>
      </c>
      <c r="AA131" s="55">
        <v>11</v>
      </c>
      <c r="AB131" s="55" t="s">
        <v>103</v>
      </c>
    </row>
    <row r="132" spans="26:28">
      <c r="Z132" s="55" t="str">
        <f t="shared" si="1"/>
        <v>12電気ヒーター給湯温水暖房機</v>
      </c>
      <c r="AA132" s="55">
        <v>12</v>
      </c>
      <c r="AB132" s="55" t="s">
        <v>104</v>
      </c>
    </row>
    <row r="133" spans="26:28">
      <c r="Z133" s="55" t="str">
        <f t="shared" si="1"/>
        <v>13電気ヒートポンプ・ガス瞬間式併用型給湯温水暖房機（暖房部：電気ヒートポンプ・ガス | 給湯部：ガス）</v>
      </c>
      <c r="AA133" s="55">
        <v>13</v>
      </c>
      <c r="AB133" s="55" t="s">
        <v>105</v>
      </c>
    </row>
    <row r="134" spans="26:28">
      <c r="Z134" s="55" t="str">
        <f t="shared" si="1"/>
        <v>14電気ヒートポンプ・ガス瞬間式併用型給湯温水暖房機（暖房部：電気ヒートポンプ・ガス | 給湯部：電気ヒートポンプ・ガス）</v>
      </c>
      <c r="AA134" s="55">
        <v>14</v>
      </c>
      <c r="AB134" s="55" t="s">
        <v>106</v>
      </c>
    </row>
    <row r="135" spans="26:28">
      <c r="Z135" s="55" t="str">
        <f t="shared" si="1"/>
        <v>15電気ヒートポンプ・ガス瞬間式併用型給湯温水暖房機（暖房部：ガス | 給湯部：電気ヒートポンプ・ガス）</v>
      </c>
      <c r="AA135" s="55">
        <v>15</v>
      </c>
      <c r="AB135" s="55" t="s">
        <v>107</v>
      </c>
    </row>
  </sheetData>
  <sheetProtection sheet="1" objects="1" scenarios="1" selectLockedCells="1"/>
  <mergeCells count="116">
    <mergeCell ref="C65:D65"/>
    <mergeCell ref="C66:D66"/>
    <mergeCell ref="C67:D67"/>
    <mergeCell ref="C53:D53"/>
    <mergeCell ref="C41:D41"/>
    <mergeCell ref="C52:D52"/>
    <mergeCell ref="C92:D92"/>
    <mergeCell ref="C68:D68"/>
    <mergeCell ref="C69:D69"/>
    <mergeCell ref="C83:D83"/>
    <mergeCell ref="C84:D84"/>
    <mergeCell ref="C75:D75"/>
    <mergeCell ref="C77:D77"/>
    <mergeCell ref="C76:D76"/>
    <mergeCell ref="C79:D79"/>
    <mergeCell ref="C78:D78"/>
    <mergeCell ref="C21:D21"/>
    <mergeCell ref="C22:D22"/>
    <mergeCell ref="C23:D23"/>
    <mergeCell ref="C24:D24"/>
    <mergeCell ref="C25:D25"/>
    <mergeCell ref="C40:D40"/>
    <mergeCell ref="M26:T27"/>
    <mergeCell ref="C27:D27"/>
    <mergeCell ref="H29:I29"/>
    <mergeCell ref="C30:D30"/>
    <mergeCell ref="C28:D28"/>
    <mergeCell ref="C29:D29"/>
    <mergeCell ref="C26:D26"/>
    <mergeCell ref="C39:D39"/>
    <mergeCell ref="C38:D38"/>
    <mergeCell ref="C36:D36"/>
    <mergeCell ref="K37:M37"/>
    <mergeCell ref="C37:D37"/>
    <mergeCell ref="C31:D31"/>
    <mergeCell ref="C35:D35"/>
    <mergeCell ref="K38:M38"/>
    <mergeCell ref="C15:D15"/>
    <mergeCell ref="J15:R15"/>
    <mergeCell ref="H1:I1"/>
    <mergeCell ref="B2:E2"/>
    <mergeCell ref="H2:I2"/>
    <mergeCell ref="C4:D4"/>
    <mergeCell ref="C13:D13"/>
    <mergeCell ref="J13:S13"/>
    <mergeCell ref="C14:D14"/>
    <mergeCell ref="H14:I14"/>
    <mergeCell ref="C8:D8"/>
    <mergeCell ref="C10:D10"/>
    <mergeCell ref="C9:D9"/>
    <mergeCell ref="C5:D6"/>
    <mergeCell ref="C7:D7"/>
    <mergeCell ref="K64:N64"/>
    <mergeCell ref="C57:D57"/>
    <mergeCell ref="C58:D58"/>
    <mergeCell ref="M41:T41"/>
    <mergeCell ref="C42:D42"/>
    <mergeCell ref="M42:T42"/>
    <mergeCell ref="C45:D45"/>
    <mergeCell ref="M45:T45"/>
    <mergeCell ref="C46:D46"/>
    <mergeCell ref="C48:D48"/>
    <mergeCell ref="C49:D49"/>
    <mergeCell ref="C43:D43"/>
    <mergeCell ref="C44:D44"/>
    <mergeCell ref="H47:I47"/>
    <mergeCell ref="C54:D54"/>
    <mergeCell ref="C55:D55"/>
    <mergeCell ref="M99:T99"/>
    <mergeCell ref="C112:D112"/>
    <mergeCell ref="C111:D111"/>
    <mergeCell ref="H97:I97"/>
    <mergeCell ref="C98:D98"/>
    <mergeCell ref="C99:D99"/>
    <mergeCell ref="H69:I69"/>
    <mergeCell ref="C70:D70"/>
    <mergeCell ref="M71:T71"/>
    <mergeCell ref="C71:D71"/>
    <mergeCell ref="C74:D74"/>
    <mergeCell ref="C80:D80"/>
    <mergeCell ref="K80:N80"/>
    <mergeCell ref="C81:D81"/>
    <mergeCell ref="C82:D82"/>
    <mergeCell ref="H84:I84"/>
    <mergeCell ref="C85:D85"/>
    <mergeCell ref="C86:D86"/>
    <mergeCell ref="C89:D89"/>
    <mergeCell ref="C91:D91"/>
    <mergeCell ref="C93:D93"/>
    <mergeCell ref="C94:D94"/>
    <mergeCell ref="C95:D95"/>
    <mergeCell ref="M86:T86"/>
    <mergeCell ref="C103:D103"/>
    <mergeCell ref="C32:D32"/>
    <mergeCell ref="C107:D107"/>
    <mergeCell ref="C115:D115"/>
    <mergeCell ref="C113:D113"/>
    <mergeCell ref="C47:D47"/>
    <mergeCell ref="J93:L93"/>
    <mergeCell ref="C114:D114"/>
    <mergeCell ref="C106:D106"/>
    <mergeCell ref="C108:D108"/>
    <mergeCell ref="C109:D109"/>
    <mergeCell ref="C110:D110"/>
    <mergeCell ref="C96:D96"/>
    <mergeCell ref="C97:D97"/>
    <mergeCell ref="C90:D90"/>
    <mergeCell ref="L55:N55"/>
    <mergeCell ref="C56:D56"/>
    <mergeCell ref="H58:I58"/>
    <mergeCell ref="L56:N56"/>
    <mergeCell ref="C59:D59"/>
    <mergeCell ref="M59:T59"/>
    <mergeCell ref="C60:D60"/>
    <mergeCell ref="C63:D63"/>
    <mergeCell ref="C64:D64"/>
  </mergeCells>
  <phoneticPr fontId="3"/>
  <dataValidations xWindow="465" yWindow="716" count="25">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53:E54">
      <formula1>$Z$121:$Z$135</formula1>
    </dataValidation>
    <dataValidation type="list" allowBlank="1" showInputMessage="1" showErrorMessage="1" prompt="プルダウンから選択してください。" sqref="E65">
      <formula1>"機器登録されている,機器登録されていない"</formula1>
    </dataValidation>
    <dataValidation type="list" allowBlank="1" showInputMessage="1" showErrorMessage="1" prompt="プルダウンから選択してください。" sqref="E14">
      <formula1>"利用する,利用しない（非FIT・FIP）"</formula1>
    </dataValidation>
    <dataValidation type="list" allowBlank="1" showInputMessage="1" showErrorMessage="1" promptTitle="　　　　　　　　　　　　　　　　　　　" prompt="プルダウンから選択してください。" sqref="E13">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5">
      <formula1>"使用する（従来から設置するものを）,使用する（今回新たに設置・今回取替）,使用しない"</formula1>
    </dataValidation>
    <dataValidation imeMode="halfAlpha" allowBlank="1" showInputMessage="1" showErrorMessage="1" prompt="「税抜」の金額を入力してください。" sqref="E55:E58 E26:E29 E82:E84 E41:E44 E66:E69 E94:E97"/>
    <dataValidation imeMode="halfAlpha" allowBlank="1" showInputMessage="1" showErrorMessage="1" prompt="小数点以下も入力してください。" sqref="E23:E24"/>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E38"/>
    <dataValidation imeMode="halfAlpha" allowBlank="1" showInputMessage="1" showErrorMessage="1" prompt="当該メニューを申請する場合、貯湯ユニットが独立しているシステムについては必ず入力してください。" sqref="E64"/>
    <dataValidation imeMode="halfAlpha" allowBlank="1" showInputMessage="1" showErrorMessage="1" prompt="当該メニューを申請する場合は必ず入力してください。" sqref="E63 E21:E22 E35 E52 E74:E76 E80 E89:E91"/>
    <dataValidation imeMode="hiragana" allowBlank="1" showInputMessage="1" showErrorMessage="1" prompt="必ず入力してください。" sqref="E4:E6"/>
    <dataValidation type="list" allowBlank="1" showInputMessage="1" showErrorMessage="1" prompt="蓄電容量が4,800Ah・セル 以下 のものは「家庭用」_x000a_蓄電容量が4,800Ah・セル 超 のものは「業務用」_x000a_を選択してください。" sqref="E36">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7 E93"/>
    <dataValidation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8"/>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9">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8">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92">
      <formula1>"V2H充放電設備,外部給電器,急速充電設備,普通充電設備"</formula1>
    </dataValidation>
    <dataValidation type="list" imeMode="hiragana" allowBlank="1" showInputMessage="1" showErrorMessage="1" prompt="必ず入力してください。" sqref="E10">
      <formula1>"左記について承知しました。"</formula1>
    </dataValidation>
    <dataValidation type="list" imeMode="halfAlpha" allowBlank="1" showInputMessage="1" showErrorMessage="1" prompt="太陽光発電設備の補助を申請する場合は必ず入力してください。" sqref="E103">
      <formula1>"３０％以上となる見込み,３０％以上とならない"</formula1>
    </dataValidation>
    <dataValidation allowBlank="1" showInputMessage="1" showErrorMessage="1" prompt="_x000a_各項目の申請金額を確認してください。_x000a_お見込みの金額と異なる場合は、各項目欄外の黄色文字の確認メッセージをご確認ください。_x000a__x000a_問題ありませんでしたら、H,I,Jの金額を交付申請書の「補助申請額」と「内訳」にそれぞれ転記してください。" sqref="J115"/>
    <dataValidation type="list" allowBlank="1" showInputMessage="1" showErrorMessage="1" prompt="プルダウンから選択してください。" sqref="E48">
      <formula1>"努めた,努めなかった"</formula1>
    </dataValidation>
    <dataValidation type="list"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9">
      <formula1>"低い方の額となる見積書を採用した。"</formula1>
    </dataValidation>
    <dataValidation type="list" allowBlank="1" showInputMessage="1" showErrorMessage="1" prompt="プルダウンから選択してください。_x000a__x000a_※右記リンクの蓄電システム登録済製品一覧のページから該当する製品が登録されているか否かを確認してください。_x000a_（過年度登録分は「過年度の登録済製品一覧」から確認してください。）" sqref="E37">
      <formula1>"機器登録されている,機器登録されていない"</formula1>
    </dataValidation>
    <dataValidation type="list" allowBlank="1" showInputMessage="1" showErrorMessage="1" prompt="対象機器を導入する住宅について_x000a_該当するものを選択してください。" sqref="E7">
      <formula1>"新築（市内から転居、建替えの予定）,新築（市外から転居予定）,既築"</formula1>
    </dataValidation>
    <dataValidation allowBlank="1" showInputMessage="1" showErrorMessage="1" prompt="代理申請者が申請する場合は必ず入力してください。" sqref="G7:G10"/>
  </dataValidations>
  <hyperlinks>
    <hyperlink ref="L55" location="'高効率給湯器（新設）'!A1" display="対象となる給湯器（新設の場合）"/>
    <hyperlink ref="L56" location="'高効率給湯器（交換）'!A1" display="対象となる給湯器（交換の場合）"/>
    <hyperlink ref="K64" r:id="rId1"/>
    <hyperlink ref="K37" r:id="rId2"/>
    <hyperlink ref="M77" r:id="rId3"/>
    <hyperlink ref="M79" r:id="rId4"/>
    <hyperlink ref="M93" r:id="rId5"/>
    <hyperlink ref="M78" r:id="rId6"/>
    <hyperlink ref="M92"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18" max="8" man="1"/>
    <brk id="33" max="8" man="1"/>
    <brk id="50" max="8" man="1"/>
    <brk id="72" max="8" man="1"/>
    <brk id="87" max="8" man="1"/>
    <brk id="104" max="8" man="1"/>
  </rowBreaks>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cols>
    <col min="1" max="1" width="106.875" style="74" hidden="1" customWidth="1" outlineLevel="1"/>
    <col min="2" max="3" width="0" style="74" hidden="1" customWidth="1" outlineLevel="1"/>
    <col min="4" max="4" width="97.125" style="74" customWidth="1" collapsed="1"/>
    <col min="5" max="5" width="17.5" style="74" customWidth="1"/>
    <col min="6" max="16384" width="9" style="74"/>
  </cols>
  <sheetData>
    <row r="1" spans="1:5" ht="33" customHeight="1" thickBot="1">
      <c r="D1" s="75" t="s">
        <v>108</v>
      </c>
      <c r="E1" s="75" t="s">
        <v>109</v>
      </c>
    </row>
    <row r="2" spans="1:5" ht="24.95" customHeight="1" thickTop="1">
      <c r="A2" s="76" t="s">
        <v>110</v>
      </c>
      <c r="D2" s="77" t="s">
        <v>111</v>
      </c>
      <c r="E2" s="78" t="s">
        <v>112</v>
      </c>
    </row>
    <row r="3" spans="1:5" ht="24.95" customHeight="1">
      <c r="A3" s="79" t="s">
        <v>113</v>
      </c>
      <c r="B3" s="80" t="s">
        <v>112</v>
      </c>
      <c r="D3" s="79" t="s">
        <v>114</v>
      </c>
      <c r="E3" s="80" t="s">
        <v>112</v>
      </c>
    </row>
    <row r="4" spans="1:5" ht="24.95" customHeight="1">
      <c r="A4" s="79" t="s">
        <v>115</v>
      </c>
      <c r="B4" s="80" t="s">
        <v>112</v>
      </c>
      <c r="D4" s="79" t="s">
        <v>116</v>
      </c>
      <c r="E4" s="80" t="s">
        <v>112</v>
      </c>
    </row>
    <row r="5" spans="1:5" ht="24.95" customHeight="1">
      <c r="A5" s="79" t="s">
        <v>117</v>
      </c>
      <c r="B5" s="80" t="s">
        <v>112</v>
      </c>
      <c r="D5" s="79" t="s">
        <v>118</v>
      </c>
      <c r="E5" s="80" t="s">
        <v>112</v>
      </c>
    </row>
    <row r="6" spans="1:5" ht="24.95" customHeight="1">
      <c r="A6" s="79" t="s">
        <v>119</v>
      </c>
      <c r="B6" s="80" t="s">
        <v>112</v>
      </c>
      <c r="D6" s="79" t="s">
        <v>120</v>
      </c>
      <c r="E6" s="80" t="s">
        <v>112</v>
      </c>
    </row>
    <row r="7" spans="1:5" ht="24.95" customHeight="1">
      <c r="A7" s="79" t="s">
        <v>121</v>
      </c>
      <c r="B7" s="81" t="s">
        <v>122</v>
      </c>
      <c r="D7" s="79" t="s">
        <v>123</v>
      </c>
      <c r="E7" s="81" t="s">
        <v>122</v>
      </c>
    </row>
    <row r="8" spans="1:5" ht="24.95" customHeight="1">
      <c r="A8" s="79" t="s">
        <v>124</v>
      </c>
      <c r="B8" s="81" t="s">
        <v>122</v>
      </c>
      <c r="D8" s="79" t="s">
        <v>125</v>
      </c>
      <c r="E8" s="81" t="s">
        <v>122</v>
      </c>
    </row>
    <row r="9" spans="1:5" ht="24.95" customHeight="1">
      <c r="A9" s="79" t="s">
        <v>111</v>
      </c>
      <c r="B9" s="80" t="s">
        <v>112</v>
      </c>
      <c r="D9" s="79" t="s">
        <v>126</v>
      </c>
      <c r="E9" s="80" t="s">
        <v>112</v>
      </c>
    </row>
    <row r="10" spans="1:5" ht="24.95" customHeight="1">
      <c r="A10" s="79" t="s">
        <v>114</v>
      </c>
      <c r="B10" s="80" t="s">
        <v>112</v>
      </c>
      <c r="D10" s="79" t="s">
        <v>127</v>
      </c>
      <c r="E10" s="80" t="s">
        <v>112</v>
      </c>
    </row>
    <row r="11" spans="1:5" ht="24.95" customHeight="1">
      <c r="A11" s="79" t="s">
        <v>116</v>
      </c>
      <c r="B11" s="80" t="s">
        <v>112</v>
      </c>
      <c r="D11" s="79" t="s">
        <v>113</v>
      </c>
      <c r="E11" s="80" t="s">
        <v>112</v>
      </c>
    </row>
    <row r="12" spans="1:5" ht="24.95" customHeight="1">
      <c r="A12" s="79" t="s">
        <v>118</v>
      </c>
      <c r="B12" s="80" t="s">
        <v>112</v>
      </c>
      <c r="D12" s="79" t="s">
        <v>115</v>
      </c>
      <c r="E12" s="80" t="s">
        <v>112</v>
      </c>
    </row>
    <row r="13" spans="1:5" ht="24.95" customHeight="1">
      <c r="A13" s="79" t="s">
        <v>120</v>
      </c>
      <c r="B13" s="80" t="s">
        <v>112</v>
      </c>
      <c r="D13" s="79" t="s">
        <v>117</v>
      </c>
      <c r="E13" s="80" t="s">
        <v>112</v>
      </c>
    </row>
    <row r="14" spans="1:5" ht="24.95" customHeight="1">
      <c r="A14" s="79" t="s">
        <v>123</v>
      </c>
      <c r="B14" s="81" t="s">
        <v>122</v>
      </c>
      <c r="D14" s="79" t="s">
        <v>119</v>
      </c>
      <c r="E14" s="80" t="s">
        <v>112</v>
      </c>
    </row>
    <row r="15" spans="1:5" ht="24.95" customHeight="1">
      <c r="A15" s="79" t="s">
        <v>125</v>
      </c>
      <c r="B15" s="81" t="s">
        <v>122</v>
      </c>
      <c r="D15" s="79" t="s">
        <v>121</v>
      </c>
      <c r="E15" s="81" t="s">
        <v>122</v>
      </c>
    </row>
    <row r="16" spans="1:5" ht="24.95" customHeight="1">
      <c r="A16" s="79" t="s">
        <v>126</v>
      </c>
      <c r="B16" s="80" t="s">
        <v>112</v>
      </c>
      <c r="D16" s="79" t="s">
        <v>124</v>
      </c>
      <c r="E16" s="81" t="s">
        <v>122</v>
      </c>
    </row>
    <row r="17" spans="1:2">
      <c r="A17" s="79" t="s">
        <v>127</v>
      </c>
      <c r="B17" s="80" t="s">
        <v>112</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cols>
    <col min="1" max="1" width="63.625" style="74" customWidth="1"/>
    <col min="2" max="16384" width="9" style="74"/>
  </cols>
  <sheetData>
    <row r="1" spans="1:16" ht="219" customHeight="1">
      <c r="A1" s="82" t="s">
        <v>128</v>
      </c>
      <c r="B1" s="83" t="s">
        <v>111</v>
      </c>
      <c r="C1" s="83" t="s">
        <v>114</v>
      </c>
      <c r="D1" s="83" t="s">
        <v>116</v>
      </c>
      <c r="E1" s="83" t="s">
        <v>118</v>
      </c>
      <c r="F1" s="83" t="s">
        <v>120</v>
      </c>
      <c r="G1" s="83" t="s">
        <v>129</v>
      </c>
      <c r="H1" s="83" t="s">
        <v>125</v>
      </c>
      <c r="I1" s="83" t="s">
        <v>126</v>
      </c>
      <c r="J1" s="83" t="s">
        <v>127</v>
      </c>
      <c r="K1" s="83" t="s">
        <v>113</v>
      </c>
      <c r="L1" s="83" t="s">
        <v>115</v>
      </c>
      <c r="M1" s="83" t="s">
        <v>117</v>
      </c>
      <c r="N1" s="83" t="s">
        <v>119</v>
      </c>
      <c r="O1" s="83" t="s">
        <v>121</v>
      </c>
      <c r="P1" s="83" t="s">
        <v>124</v>
      </c>
    </row>
    <row r="2" spans="1:16" ht="24.95" customHeight="1">
      <c r="A2" s="79" t="s">
        <v>111</v>
      </c>
      <c r="B2" s="80" t="s">
        <v>112</v>
      </c>
      <c r="C2" s="80" t="s">
        <v>112</v>
      </c>
      <c r="D2" s="80" t="s">
        <v>112</v>
      </c>
      <c r="E2" s="80" t="s">
        <v>112</v>
      </c>
      <c r="F2" s="80" t="s">
        <v>112</v>
      </c>
      <c r="G2" s="81" t="s">
        <v>130</v>
      </c>
      <c r="H2" s="81" t="s">
        <v>130</v>
      </c>
      <c r="I2" s="80" t="s">
        <v>112</v>
      </c>
      <c r="J2" s="80" t="s">
        <v>112</v>
      </c>
      <c r="K2" s="80" t="s">
        <v>112</v>
      </c>
      <c r="L2" s="80" t="s">
        <v>112</v>
      </c>
      <c r="M2" s="80" t="s">
        <v>112</v>
      </c>
      <c r="N2" s="80" t="s">
        <v>112</v>
      </c>
      <c r="O2" s="81" t="s">
        <v>130</v>
      </c>
      <c r="P2" s="81" t="s">
        <v>130</v>
      </c>
    </row>
    <row r="3" spans="1:16" ht="24.95" customHeight="1">
      <c r="A3" s="79" t="s">
        <v>114</v>
      </c>
      <c r="B3" s="80" t="s">
        <v>112</v>
      </c>
      <c r="C3" s="80" t="s">
        <v>112</v>
      </c>
      <c r="D3" s="80" t="s">
        <v>112</v>
      </c>
      <c r="E3" s="80" t="s">
        <v>112</v>
      </c>
      <c r="F3" s="80" t="s">
        <v>112</v>
      </c>
      <c r="G3" s="84" t="s">
        <v>112</v>
      </c>
      <c r="H3" s="81" t="s">
        <v>130</v>
      </c>
      <c r="I3" s="80" t="s">
        <v>112</v>
      </c>
      <c r="J3" s="80" t="s">
        <v>112</v>
      </c>
      <c r="K3" s="80" t="s">
        <v>112</v>
      </c>
      <c r="L3" s="80" t="s">
        <v>112</v>
      </c>
      <c r="M3" s="80" t="s">
        <v>112</v>
      </c>
      <c r="N3" s="80" t="s">
        <v>112</v>
      </c>
      <c r="O3" s="81" t="s">
        <v>130</v>
      </c>
      <c r="P3" s="81" t="s">
        <v>130</v>
      </c>
    </row>
    <row r="4" spans="1:16" ht="24.95" customHeight="1">
      <c r="A4" s="79" t="s">
        <v>116</v>
      </c>
      <c r="B4" s="80" t="s">
        <v>112</v>
      </c>
      <c r="C4" s="80" t="s">
        <v>112</v>
      </c>
      <c r="D4" s="80" t="s">
        <v>112</v>
      </c>
      <c r="E4" s="80" t="s">
        <v>112</v>
      </c>
      <c r="F4" s="80" t="s">
        <v>112</v>
      </c>
      <c r="G4" s="81" t="s">
        <v>130</v>
      </c>
      <c r="H4" s="81" t="s">
        <v>130</v>
      </c>
      <c r="I4" s="80" t="s">
        <v>112</v>
      </c>
      <c r="J4" s="80" t="s">
        <v>112</v>
      </c>
      <c r="K4" s="80" t="s">
        <v>112</v>
      </c>
      <c r="L4" s="80" t="s">
        <v>112</v>
      </c>
      <c r="M4" s="80" t="s">
        <v>112</v>
      </c>
      <c r="N4" s="80" t="s">
        <v>112</v>
      </c>
      <c r="O4" s="81" t="s">
        <v>130</v>
      </c>
      <c r="P4" s="81" t="s">
        <v>130</v>
      </c>
    </row>
    <row r="5" spans="1:16" ht="24.95" customHeight="1">
      <c r="A5" s="79" t="s">
        <v>118</v>
      </c>
      <c r="B5" s="80" t="s">
        <v>112</v>
      </c>
      <c r="C5" s="80" t="s">
        <v>112</v>
      </c>
      <c r="D5" s="80" t="s">
        <v>112</v>
      </c>
      <c r="E5" s="80" t="s">
        <v>112</v>
      </c>
      <c r="F5" s="80" t="s">
        <v>112</v>
      </c>
      <c r="G5" s="81" t="s">
        <v>130</v>
      </c>
      <c r="H5" s="81" t="s">
        <v>130</v>
      </c>
      <c r="I5" s="80" t="s">
        <v>112</v>
      </c>
      <c r="J5" s="80" t="s">
        <v>112</v>
      </c>
      <c r="K5" s="80" t="s">
        <v>112</v>
      </c>
      <c r="L5" s="80" t="s">
        <v>112</v>
      </c>
      <c r="M5" s="80" t="s">
        <v>112</v>
      </c>
      <c r="N5" s="80" t="s">
        <v>112</v>
      </c>
      <c r="O5" s="81" t="s">
        <v>130</v>
      </c>
      <c r="P5" s="81" t="s">
        <v>130</v>
      </c>
    </row>
    <row r="6" spans="1:16" ht="24.95" customHeight="1">
      <c r="A6" s="79" t="s">
        <v>120</v>
      </c>
      <c r="B6" s="80" t="s">
        <v>112</v>
      </c>
      <c r="C6" s="80" t="s">
        <v>112</v>
      </c>
      <c r="D6" s="80" t="s">
        <v>112</v>
      </c>
      <c r="E6" s="80" t="s">
        <v>112</v>
      </c>
      <c r="F6" s="80" t="s">
        <v>112</v>
      </c>
      <c r="G6" s="81" t="s">
        <v>130</v>
      </c>
      <c r="H6" s="81" t="s">
        <v>130</v>
      </c>
      <c r="I6" s="80" t="s">
        <v>112</v>
      </c>
      <c r="J6" s="80" t="s">
        <v>112</v>
      </c>
      <c r="K6" s="80" t="s">
        <v>112</v>
      </c>
      <c r="L6" s="80" t="s">
        <v>112</v>
      </c>
      <c r="M6" s="80" t="s">
        <v>112</v>
      </c>
      <c r="N6" s="80" t="s">
        <v>112</v>
      </c>
      <c r="O6" s="81" t="s">
        <v>130</v>
      </c>
      <c r="P6" s="81" t="s">
        <v>130</v>
      </c>
    </row>
    <row r="7" spans="1:16" ht="24.95" customHeight="1">
      <c r="A7" s="79" t="s">
        <v>131</v>
      </c>
      <c r="B7" s="80" t="s">
        <v>112</v>
      </c>
      <c r="C7" s="80" t="s">
        <v>112</v>
      </c>
      <c r="D7" s="80" t="s">
        <v>112</v>
      </c>
      <c r="E7" s="80" t="s">
        <v>112</v>
      </c>
      <c r="F7" s="80" t="s">
        <v>112</v>
      </c>
      <c r="G7" s="84" t="s">
        <v>112</v>
      </c>
      <c r="H7" s="84" t="s">
        <v>112</v>
      </c>
      <c r="I7" s="80" t="s">
        <v>112</v>
      </c>
      <c r="J7" s="80" t="s">
        <v>112</v>
      </c>
      <c r="K7" s="80" t="s">
        <v>112</v>
      </c>
      <c r="L7" s="80" t="s">
        <v>112</v>
      </c>
      <c r="M7" s="80" t="s">
        <v>112</v>
      </c>
      <c r="N7" s="80" t="s">
        <v>112</v>
      </c>
      <c r="O7" s="84" t="s">
        <v>112</v>
      </c>
      <c r="P7" s="84" t="s">
        <v>112</v>
      </c>
    </row>
    <row r="8" spans="1:16" ht="24.95" customHeight="1">
      <c r="A8" s="79" t="s">
        <v>125</v>
      </c>
      <c r="B8" s="80" t="s">
        <v>112</v>
      </c>
      <c r="C8" s="80" t="s">
        <v>112</v>
      </c>
      <c r="D8" s="80" t="s">
        <v>112</v>
      </c>
      <c r="E8" s="80" t="s">
        <v>112</v>
      </c>
      <c r="F8" s="80" t="s">
        <v>112</v>
      </c>
      <c r="G8" s="84" t="s">
        <v>112</v>
      </c>
      <c r="H8" s="84" t="s">
        <v>112</v>
      </c>
      <c r="I8" s="80" t="s">
        <v>112</v>
      </c>
      <c r="J8" s="80" t="s">
        <v>112</v>
      </c>
      <c r="K8" s="80" t="s">
        <v>112</v>
      </c>
      <c r="L8" s="80" t="s">
        <v>112</v>
      </c>
      <c r="M8" s="80" t="s">
        <v>112</v>
      </c>
      <c r="N8" s="80" t="s">
        <v>112</v>
      </c>
      <c r="O8" s="84" t="s">
        <v>112</v>
      </c>
      <c r="P8" s="84" t="s">
        <v>112</v>
      </c>
    </row>
    <row r="9" spans="1:16" ht="24.95" customHeight="1">
      <c r="A9" s="79" t="s">
        <v>126</v>
      </c>
      <c r="B9" s="80" t="s">
        <v>112</v>
      </c>
      <c r="C9" s="80" t="s">
        <v>112</v>
      </c>
      <c r="D9" s="80" t="s">
        <v>112</v>
      </c>
      <c r="E9" s="80" t="s">
        <v>112</v>
      </c>
      <c r="F9" s="80" t="s">
        <v>112</v>
      </c>
      <c r="G9" s="81" t="s">
        <v>130</v>
      </c>
      <c r="H9" s="81" t="s">
        <v>130</v>
      </c>
      <c r="I9" s="80" t="s">
        <v>112</v>
      </c>
      <c r="J9" s="80" t="s">
        <v>112</v>
      </c>
      <c r="K9" s="80" t="s">
        <v>112</v>
      </c>
      <c r="L9" s="80" t="s">
        <v>112</v>
      </c>
      <c r="M9" s="80" t="s">
        <v>112</v>
      </c>
      <c r="N9" s="80" t="s">
        <v>112</v>
      </c>
      <c r="O9" s="81" t="s">
        <v>130</v>
      </c>
      <c r="P9" s="81" t="s">
        <v>130</v>
      </c>
    </row>
    <row r="10" spans="1:16" ht="24.95" customHeight="1">
      <c r="A10" s="79" t="s">
        <v>127</v>
      </c>
      <c r="B10" s="80" t="s">
        <v>112</v>
      </c>
      <c r="C10" s="80" t="s">
        <v>112</v>
      </c>
      <c r="D10" s="80" t="s">
        <v>112</v>
      </c>
      <c r="E10" s="80" t="s">
        <v>112</v>
      </c>
      <c r="F10" s="80" t="s">
        <v>112</v>
      </c>
      <c r="G10" s="84" t="s">
        <v>112</v>
      </c>
      <c r="H10" s="81" t="s">
        <v>130</v>
      </c>
      <c r="I10" s="80" t="s">
        <v>112</v>
      </c>
      <c r="J10" s="80" t="s">
        <v>112</v>
      </c>
      <c r="K10" s="80" t="s">
        <v>112</v>
      </c>
      <c r="L10" s="80" t="s">
        <v>112</v>
      </c>
      <c r="M10" s="80" t="s">
        <v>112</v>
      </c>
      <c r="N10" s="80" t="s">
        <v>112</v>
      </c>
      <c r="O10" s="81" t="s">
        <v>130</v>
      </c>
      <c r="P10" s="81" t="s">
        <v>130</v>
      </c>
    </row>
    <row r="11" spans="1:16" ht="24.95" customHeight="1">
      <c r="A11" s="79" t="s">
        <v>113</v>
      </c>
      <c r="B11" s="80" t="s">
        <v>112</v>
      </c>
      <c r="C11" s="80" t="s">
        <v>112</v>
      </c>
      <c r="D11" s="80" t="s">
        <v>112</v>
      </c>
      <c r="E11" s="80" t="s">
        <v>112</v>
      </c>
      <c r="F11" s="80" t="s">
        <v>112</v>
      </c>
      <c r="G11" s="81" t="s">
        <v>130</v>
      </c>
      <c r="H11" s="81" t="s">
        <v>130</v>
      </c>
      <c r="I11" s="80" t="s">
        <v>112</v>
      </c>
      <c r="J11" s="80" t="s">
        <v>112</v>
      </c>
      <c r="K11" s="80" t="s">
        <v>112</v>
      </c>
      <c r="L11" s="80" t="s">
        <v>112</v>
      </c>
      <c r="M11" s="80" t="s">
        <v>112</v>
      </c>
      <c r="N11" s="80" t="s">
        <v>112</v>
      </c>
      <c r="O11" s="81" t="s">
        <v>130</v>
      </c>
      <c r="P11" s="81" t="s">
        <v>130</v>
      </c>
    </row>
    <row r="12" spans="1:16" ht="24.95" customHeight="1">
      <c r="A12" s="79" t="s">
        <v>115</v>
      </c>
      <c r="B12" s="80" t="s">
        <v>112</v>
      </c>
      <c r="C12" s="80" t="s">
        <v>112</v>
      </c>
      <c r="D12" s="80" t="s">
        <v>112</v>
      </c>
      <c r="E12" s="80" t="s">
        <v>112</v>
      </c>
      <c r="F12" s="80" t="s">
        <v>112</v>
      </c>
      <c r="G12" s="81" t="s">
        <v>130</v>
      </c>
      <c r="H12" s="81" t="s">
        <v>130</v>
      </c>
      <c r="I12" s="80" t="s">
        <v>112</v>
      </c>
      <c r="J12" s="80" t="s">
        <v>112</v>
      </c>
      <c r="K12" s="80" t="s">
        <v>112</v>
      </c>
      <c r="L12" s="80" t="s">
        <v>112</v>
      </c>
      <c r="M12" s="80" t="s">
        <v>112</v>
      </c>
      <c r="N12" s="80" t="s">
        <v>112</v>
      </c>
      <c r="O12" s="81" t="s">
        <v>130</v>
      </c>
      <c r="P12" s="81" t="s">
        <v>130</v>
      </c>
    </row>
    <row r="13" spans="1:16" ht="24.95" customHeight="1">
      <c r="A13" s="79" t="s">
        <v>117</v>
      </c>
      <c r="B13" s="80" t="s">
        <v>112</v>
      </c>
      <c r="C13" s="80" t="s">
        <v>112</v>
      </c>
      <c r="D13" s="80" t="s">
        <v>112</v>
      </c>
      <c r="E13" s="80" t="s">
        <v>112</v>
      </c>
      <c r="F13" s="80" t="s">
        <v>112</v>
      </c>
      <c r="G13" s="81" t="s">
        <v>130</v>
      </c>
      <c r="H13" s="81" t="s">
        <v>130</v>
      </c>
      <c r="I13" s="80" t="s">
        <v>112</v>
      </c>
      <c r="J13" s="80" t="s">
        <v>112</v>
      </c>
      <c r="K13" s="80" t="s">
        <v>112</v>
      </c>
      <c r="L13" s="80" t="s">
        <v>112</v>
      </c>
      <c r="M13" s="80" t="s">
        <v>112</v>
      </c>
      <c r="N13" s="80" t="s">
        <v>112</v>
      </c>
      <c r="O13" s="81" t="s">
        <v>130</v>
      </c>
      <c r="P13" s="81" t="s">
        <v>130</v>
      </c>
    </row>
    <row r="14" spans="1:16" ht="24.95" customHeight="1">
      <c r="A14" s="79" t="s">
        <v>119</v>
      </c>
      <c r="B14" s="80" t="s">
        <v>112</v>
      </c>
      <c r="C14" s="80" t="s">
        <v>112</v>
      </c>
      <c r="D14" s="80" t="s">
        <v>112</v>
      </c>
      <c r="E14" s="80" t="s">
        <v>112</v>
      </c>
      <c r="F14" s="80" t="s">
        <v>112</v>
      </c>
      <c r="G14" s="84" t="s">
        <v>112</v>
      </c>
      <c r="H14" s="81" t="s">
        <v>130</v>
      </c>
      <c r="I14" s="80" t="s">
        <v>112</v>
      </c>
      <c r="J14" s="80" t="s">
        <v>112</v>
      </c>
      <c r="K14" s="80" t="s">
        <v>112</v>
      </c>
      <c r="L14" s="80" t="s">
        <v>112</v>
      </c>
      <c r="M14" s="80" t="s">
        <v>112</v>
      </c>
      <c r="N14" s="80" t="s">
        <v>112</v>
      </c>
      <c r="O14" s="81" t="s">
        <v>130</v>
      </c>
      <c r="P14" s="81" t="s">
        <v>130</v>
      </c>
    </row>
    <row r="15" spans="1:16" ht="24.95" customHeight="1">
      <c r="A15" s="79" t="s">
        <v>121</v>
      </c>
      <c r="B15" s="80" t="s">
        <v>112</v>
      </c>
      <c r="C15" s="80" t="s">
        <v>112</v>
      </c>
      <c r="D15" s="80" t="s">
        <v>112</v>
      </c>
      <c r="E15" s="80" t="s">
        <v>112</v>
      </c>
      <c r="F15" s="80" t="s">
        <v>112</v>
      </c>
      <c r="G15" s="84" t="s">
        <v>112</v>
      </c>
      <c r="H15" s="84" t="s">
        <v>112</v>
      </c>
      <c r="I15" s="80" t="s">
        <v>112</v>
      </c>
      <c r="J15" s="80" t="s">
        <v>112</v>
      </c>
      <c r="K15" s="80" t="s">
        <v>112</v>
      </c>
      <c r="L15" s="80" t="s">
        <v>112</v>
      </c>
      <c r="M15" s="80" t="s">
        <v>112</v>
      </c>
      <c r="N15" s="80" t="s">
        <v>112</v>
      </c>
      <c r="O15" s="84" t="s">
        <v>112</v>
      </c>
      <c r="P15" s="84" t="s">
        <v>112</v>
      </c>
    </row>
    <row r="16" spans="1:16" ht="24.95" customHeight="1">
      <c r="A16" s="79" t="s">
        <v>124</v>
      </c>
      <c r="B16" s="80" t="s">
        <v>112</v>
      </c>
      <c r="C16" s="80" t="s">
        <v>112</v>
      </c>
      <c r="D16" s="80" t="s">
        <v>112</v>
      </c>
      <c r="E16" s="80" t="s">
        <v>112</v>
      </c>
      <c r="F16" s="80" t="s">
        <v>112</v>
      </c>
      <c r="G16" s="84" t="s">
        <v>112</v>
      </c>
      <c r="H16" s="84" t="s">
        <v>112</v>
      </c>
      <c r="I16" s="80" t="s">
        <v>112</v>
      </c>
      <c r="J16" s="80" t="s">
        <v>112</v>
      </c>
      <c r="K16" s="80" t="s">
        <v>112</v>
      </c>
      <c r="L16" s="80" t="s">
        <v>112</v>
      </c>
      <c r="M16" s="80" t="s">
        <v>112</v>
      </c>
      <c r="N16" s="80" t="s">
        <v>112</v>
      </c>
      <c r="O16" s="84" t="s">
        <v>112</v>
      </c>
      <c r="P16" s="84" t="s">
        <v>112</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6"/>
  <sheetViews>
    <sheetView showGridLines="0" view="pageBreakPreview" zoomScaleNormal="100" zoomScaleSheetLayoutView="100" workbookViewId="0">
      <selection activeCell="E15" sqref="E15"/>
    </sheetView>
  </sheetViews>
  <sheetFormatPr defaultColWidth="8" defaultRowHeight="13.5"/>
  <cols>
    <col min="1" max="1" width="2.75" style="111" customWidth="1"/>
    <col min="2" max="2" width="3.625" style="111" customWidth="1"/>
    <col min="3" max="3" width="16.875" style="2" customWidth="1"/>
    <col min="4" max="4" width="20.25" style="111" customWidth="1"/>
    <col min="5" max="5" width="25.625" style="2" customWidth="1"/>
    <col min="6" max="6" width="16.625" style="3" customWidth="1"/>
    <col min="7" max="7" width="4.5" style="116" customWidth="1"/>
    <col min="8" max="8" width="8" style="111"/>
    <col min="9" max="9" width="2.75" style="111" customWidth="1"/>
    <col min="10" max="10" width="3.625" style="111" customWidth="1"/>
    <col min="11" max="11" width="16.875" style="2" customWidth="1"/>
    <col min="12" max="12" width="20.25" style="111" customWidth="1"/>
    <col min="13" max="13" width="25.625" style="2" customWidth="1"/>
    <col min="14" max="14" width="16.625" style="3" customWidth="1"/>
    <col min="15" max="15" width="4.5" style="116" customWidth="1"/>
    <col min="16" max="16384" width="8" style="111"/>
  </cols>
  <sheetData>
    <row r="1" spans="1:15">
      <c r="G1" s="4"/>
      <c r="O1" s="4"/>
    </row>
    <row r="2" spans="1:15" ht="33.6" customHeight="1">
      <c r="A2" s="7"/>
      <c r="B2" s="174" t="s">
        <v>240</v>
      </c>
      <c r="C2" s="175"/>
      <c r="D2" s="175"/>
      <c r="E2" s="175"/>
      <c r="G2" s="114"/>
      <c r="I2" s="7"/>
      <c r="J2" s="174"/>
      <c r="K2" s="175"/>
      <c r="L2" s="175"/>
      <c r="M2" s="175"/>
      <c r="O2" s="114"/>
    </row>
    <row r="3" spans="1:15" ht="22.5" customHeight="1">
      <c r="A3" s="7"/>
      <c r="B3" s="129"/>
      <c r="C3" s="131" t="s">
        <v>242</v>
      </c>
      <c r="E3" s="130"/>
      <c r="F3" s="8"/>
      <c r="G3" s="114"/>
      <c r="I3" s="7"/>
      <c r="J3" s="129"/>
      <c r="K3" s="131"/>
      <c r="M3" s="130"/>
      <c r="N3" s="8"/>
      <c r="O3" s="114"/>
    </row>
    <row r="4" spans="1:15" s="104" customFormat="1" ht="22.5" customHeight="1">
      <c r="C4" s="131" t="s">
        <v>243</v>
      </c>
      <c r="D4" s="24"/>
      <c r="E4" s="24"/>
      <c r="F4" s="24"/>
      <c r="G4" s="25"/>
      <c r="K4" s="131"/>
      <c r="L4" s="24"/>
      <c r="M4" s="24"/>
      <c r="N4" s="24"/>
      <c r="O4" s="25"/>
    </row>
    <row r="5" spans="1:15" s="104" customFormat="1" ht="22.5" customHeight="1">
      <c r="C5" s="23"/>
      <c r="D5" s="24"/>
      <c r="E5" s="24"/>
      <c r="F5" s="24"/>
      <c r="G5" s="25"/>
      <c r="K5" s="23"/>
      <c r="L5" s="24"/>
      <c r="M5" s="24"/>
      <c r="N5" s="24"/>
      <c r="O5" s="25"/>
    </row>
    <row r="6" spans="1:15" s="104" customFormat="1" ht="22.5" customHeight="1">
      <c r="C6" s="135" t="s">
        <v>245</v>
      </c>
      <c r="D6" s="24" t="s">
        <v>246</v>
      </c>
      <c r="E6" s="24"/>
      <c r="F6" s="24"/>
      <c r="G6" s="25"/>
      <c r="K6" s="23"/>
      <c r="L6" s="24"/>
      <c r="M6" s="24"/>
      <c r="N6" s="24"/>
      <c r="O6" s="25"/>
    </row>
    <row r="7" spans="1:15" s="104" customFormat="1" ht="22.5" customHeight="1">
      <c r="C7" s="133" t="str">
        <f>IF(E15="","",E15)</f>
        <v/>
      </c>
      <c r="D7" s="134">
        <f>+E84</f>
        <v>0</v>
      </c>
      <c r="E7" s="24"/>
      <c r="F7" s="24"/>
      <c r="G7" s="25"/>
      <c r="K7" s="23"/>
      <c r="L7" s="24"/>
      <c r="M7" s="24"/>
      <c r="N7" s="24"/>
      <c r="O7" s="25"/>
    </row>
    <row r="8" spans="1:15" s="104" customFormat="1" ht="22.5" customHeight="1">
      <c r="C8" s="133" t="str">
        <f>IF(M15="","",M15)</f>
        <v/>
      </c>
      <c r="D8" s="134">
        <f>+M84</f>
        <v>0</v>
      </c>
      <c r="E8" s="24"/>
      <c r="F8" s="24"/>
      <c r="G8" s="25"/>
      <c r="K8" s="23"/>
      <c r="L8" s="24"/>
      <c r="M8" s="24"/>
      <c r="N8" s="24"/>
      <c r="O8" s="25"/>
    </row>
    <row r="9" spans="1:15" s="104" customFormat="1" ht="22.5" customHeight="1">
      <c r="C9" s="143"/>
      <c r="D9" s="144"/>
      <c r="E9" s="24"/>
      <c r="F9" s="24"/>
      <c r="G9" s="25"/>
      <c r="K9" s="23"/>
      <c r="L9" s="24"/>
      <c r="M9" s="24"/>
      <c r="N9" s="24"/>
      <c r="O9" s="25"/>
    </row>
    <row r="10" spans="1:15" s="104" customFormat="1" ht="22.5" customHeight="1" thickBot="1">
      <c r="B10" s="145" t="s">
        <v>247</v>
      </c>
      <c r="C10" s="23"/>
      <c r="D10" s="24"/>
      <c r="E10" s="24"/>
      <c r="F10" s="24"/>
      <c r="G10" s="25"/>
      <c r="K10" s="23"/>
      <c r="L10" s="24"/>
      <c r="M10" s="24"/>
      <c r="N10" s="24"/>
      <c r="O10" s="25"/>
    </row>
    <row r="11" spans="1:15" s="104" customFormat="1" ht="42.75" customHeight="1" thickTop="1" thickBot="1">
      <c r="B11" s="136"/>
      <c r="C11" s="137" t="str">
        <f>IF(D8=0,"",IF(D7=0,"",IF(D7=D8,"補助金の交付申請額が一致するため、どちらの見積書を採用しても問題ありません。",IF(D7&gt;D8,"補助金の交付申請額が少ない"&amp;C8&amp;"を採用してください。","補助金の交付申請額が少ない"&amp;C7&amp;"を採用してください"))))</f>
        <v/>
      </c>
      <c r="D11" s="138"/>
      <c r="E11" s="139"/>
      <c r="F11" s="138"/>
      <c r="G11" s="140"/>
      <c r="H11" s="139"/>
      <c r="I11" s="139"/>
      <c r="J11" s="139"/>
      <c r="K11" s="141"/>
      <c r="L11" s="138"/>
      <c r="M11" s="142"/>
      <c r="N11" s="24"/>
      <c r="O11" s="25"/>
    </row>
    <row r="12" spans="1:15" s="104" customFormat="1" ht="22.5" customHeight="1" thickTop="1">
      <c r="C12" s="23"/>
      <c r="D12" s="24"/>
      <c r="E12" s="24"/>
      <c r="F12" s="24"/>
      <c r="G12" s="25"/>
      <c r="K12" s="23"/>
      <c r="L12" s="24"/>
      <c r="M12" s="24"/>
      <c r="N12" s="24"/>
      <c r="O12" s="25"/>
    </row>
    <row r="13" spans="1:15" s="104" customFormat="1" ht="22.5" customHeight="1">
      <c r="C13" s="23"/>
      <c r="D13" s="24"/>
      <c r="E13" s="24"/>
      <c r="F13" s="24"/>
      <c r="G13" s="25"/>
      <c r="K13" s="23"/>
      <c r="L13" s="24"/>
      <c r="M13" s="24"/>
      <c r="N13" s="24"/>
      <c r="O13" s="25"/>
    </row>
    <row r="14" spans="1:15" s="104" customFormat="1" ht="22.5" customHeight="1">
      <c r="C14" s="23"/>
      <c r="D14" s="24"/>
      <c r="E14" s="24"/>
      <c r="F14" s="24"/>
      <c r="G14" s="25"/>
      <c r="K14" s="23"/>
      <c r="L14" s="24"/>
      <c r="M14" s="24"/>
      <c r="N14" s="24"/>
      <c r="O14" s="25"/>
    </row>
    <row r="15" spans="1:15" ht="50.1" customHeight="1">
      <c r="B15" s="117"/>
      <c r="C15" s="151" t="s">
        <v>244</v>
      </c>
      <c r="D15" s="151"/>
      <c r="E15" s="132"/>
      <c r="F15" s="115"/>
      <c r="G15" s="114"/>
      <c r="J15" s="117"/>
      <c r="K15" s="151" t="s">
        <v>244</v>
      </c>
      <c r="L15" s="151"/>
      <c r="M15" s="132"/>
      <c r="N15" s="115"/>
      <c r="O15" s="114"/>
    </row>
    <row r="16" spans="1:15" ht="16.5" customHeight="1">
      <c r="C16" s="28" t="s">
        <v>13</v>
      </c>
      <c r="D16" s="28"/>
      <c r="E16" s="29"/>
      <c r="F16" s="30"/>
      <c r="K16" s="28" t="s">
        <v>13</v>
      </c>
      <c r="L16" s="28"/>
      <c r="M16" s="29"/>
      <c r="N16" s="30"/>
    </row>
    <row r="17" spans="2:15" ht="50.1" customHeight="1">
      <c r="B17" s="117"/>
      <c r="C17" s="151" t="s">
        <v>18</v>
      </c>
      <c r="D17" s="151"/>
      <c r="E17" s="42"/>
      <c r="F17" s="115" t="s">
        <v>19</v>
      </c>
      <c r="G17" s="114" t="s">
        <v>20</v>
      </c>
      <c r="J17" s="117"/>
      <c r="K17" s="151" t="s">
        <v>18</v>
      </c>
      <c r="L17" s="151"/>
      <c r="M17" s="42"/>
      <c r="N17" s="115" t="s">
        <v>19</v>
      </c>
      <c r="O17" s="114" t="s">
        <v>20</v>
      </c>
    </row>
    <row r="18" spans="2:15" ht="50.1" customHeight="1">
      <c r="B18" s="117"/>
      <c r="C18" s="151" t="s">
        <v>21</v>
      </c>
      <c r="D18" s="151"/>
      <c r="E18" s="42"/>
      <c r="F18" s="115" t="s">
        <v>19</v>
      </c>
      <c r="G18" s="114" t="s">
        <v>22</v>
      </c>
      <c r="J18" s="117"/>
      <c r="K18" s="151" t="s">
        <v>21</v>
      </c>
      <c r="L18" s="151"/>
      <c r="M18" s="42"/>
      <c r="N18" s="115" t="s">
        <v>19</v>
      </c>
      <c r="O18" s="114" t="s">
        <v>22</v>
      </c>
    </row>
    <row r="19" spans="2:15" ht="50.1" customHeight="1">
      <c r="B19" s="117"/>
      <c r="C19" s="151" t="s">
        <v>23</v>
      </c>
      <c r="D19" s="151"/>
      <c r="E19" s="119" t="str">
        <f>IF(E17="","",ROUNDDOWN(MIN(E17:E18),0))</f>
        <v/>
      </c>
      <c r="F19" s="115" t="s">
        <v>24</v>
      </c>
      <c r="G19" s="114" t="s">
        <v>25</v>
      </c>
      <c r="J19" s="117"/>
      <c r="K19" s="151" t="s">
        <v>23</v>
      </c>
      <c r="L19" s="151"/>
      <c r="M19" s="119" t="str">
        <f>IF(M17="","",ROUNDDOWN(MIN(M17:M18),0))</f>
        <v/>
      </c>
      <c r="N19" s="115" t="s">
        <v>24</v>
      </c>
      <c r="O19" s="114" t="s">
        <v>25</v>
      </c>
    </row>
    <row r="20" spans="2:15" ht="50.1" customHeight="1">
      <c r="B20" s="117"/>
      <c r="C20" s="162" t="s">
        <v>26</v>
      </c>
      <c r="D20" s="163"/>
      <c r="E20" s="45"/>
      <c r="F20" s="115" t="s">
        <v>27</v>
      </c>
      <c r="G20" s="114" t="s">
        <v>28</v>
      </c>
      <c r="J20" s="117"/>
      <c r="K20" s="162" t="s">
        <v>26</v>
      </c>
      <c r="L20" s="163"/>
      <c r="M20" s="45"/>
      <c r="N20" s="115" t="s">
        <v>27</v>
      </c>
      <c r="O20" s="114" t="s">
        <v>28</v>
      </c>
    </row>
    <row r="21" spans="2:15" ht="50.1" customHeight="1">
      <c r="B21" s="117"/>
      <c r="C21" s="162" t="s">
        <v>30</v>
      </c>
      <c r="D21" s="163"/>
      <c r="E21" s="45"/>
      <c r="F21" s="115" t="s">
        <v>27</v>
      </c>
      <c r="G21" s="114" t="s">
        <v>31</v>
      </c>
      <c r="J21" s="117"/>
      <c r="K21" s="162" t="s">
        <v>30</v>
      </c>
      <c r="L21" s="163"/>
      <c r="M21" s="45"/>
      <c r="N21" s="115" t="s">
        <v>27</v>
      </c>
      <c r="O21" s="114" t="s">
        <v>31</v>
      </c>
    </row>
    <row r="22" spans="2:15" ht="50.1" customHeight="1">
      <c r="B22" s="117"/>
      <c r="C22" s="158" t="s">
        <v>184</v>
      </c>
      <c r="D22" s="159"/>
      <c r="E22" s="97">
        <f>+E20+E21</f>
        <v>0</v>
      </c>
      <c r="F22" s="115" t="s">
        <v>161</v>
      </c>
      <c r="G22" s="114" t="s">
        <v>162</v>
      </c>
      <c r="J22" s="117"/>
      <c r="K22" s="158" t="s">
        <v>184</v>
      </c>
      <c r="L22" s="159"/>
      <c r="M22" s="97">
        <f>+M20+M21</f>
        <v>0</v>
      </c>
      <c r="N22" s="115" t="s">
        <v>161</v>
      </c>
      <c r="O22" s="114" t="s">
        <v>162</v>
      </c>
    </row>
    <row r="23" spans="2:15" ht="50.1" customHeight="1">
      <c r="B23" s="117"/>
      <c r="C23" s="158" t="s">
        <v>187</v>
      </c>
      <c r="D23" s="159"/>
      <c r="E23" s="45"/>
      <c r="F23" s="115" t="s">
        <v>166</v>
      </c>
      <c r="G23" s="114" t="s">
        <v>163</v>
      </c>
      <c r="J23" s="117"/>
      <c r="K23" s="158" t="s">
        <v>187</v>
      </c>
      <c r="L23" s="159"/>
      <c r="M23" s="45"/>
      <c r="N23" s="115" t="s">
        <v>166</v>
      </c>
      <c r="O23" s="114" t="s">
        <v>163</v>
      </c>
    </row>
    <row r="24" spans="2:15" ht="50.1" customHeight="1" thickBot="1">
      <c r="B24" s="117"/>
      <c r="C24" s="162" t="s">
        <v>33</v>
      </c>
      <c r="D24" s="163"/>
      <c r="E24" s="119">
        <f>IF(E20+E21-E23=0,0,E20+E21-E23)</f>
        <v>0</v>
      </c>
      <c r="F24" s="115" t="s">
        <v>165</v>
      </c>
      <c r="G24" s="114" t="s">
        <v>57</v>
      </c>
      <c r="J24" s="117"/>
      <c r="K24" s="162" t="s">
        <v>33</v>
      </c>
      <c r="L24" s="163"/>
      <c r="M24" s="119">
        <f>IF(M20+M21-M23=0,0,M20+M21-M23)</f>
        <v>0</v>
      </c>
      <c r="N24" s="115" t="s">
        <v>165</v>
      </c>
      <c r="O24" s="114" t="s">
        <v>57</v>
      </c>
    </row>
    <row r="25" spans="2:15" ht="50.1" customHeight="1" thickBot="1">
      <c r="B25" s="117"/>
      <c r="C25" s="149" t="s">
        <v>212</v>
      </c>
      <c r="D25" s="150"/>
      <c r="E25" s="121">
        <f>IF(E19="",0,IF(E19*70000&lt;=350000,ROUNDDOWN(MIN(E19*70000,E24),-3),350000))</f>
        <v>0</v>
      </c>
      <c r="F25" s="122" t="s">
        <v>27</v>
      </c>
      <c r="G25" s="114" t="s">
        <v>164</v>
      </c>
      <c r="J25" s="117"/>
      <c r="K25" s="149" t="s">
        <v>212</v>
      </c>
      <c r="L25" s="150"/>
      <c r="M25" s="121">
        <f>IF(M19="",0,IF(M19*70000&lt;=350000,ROUNDDOWN(MIN(M19*70000,M24),-3),350000))</f>
        <v>0</v>
      </c>
      <c r="N25" s="122" t="s">
        <v>27</v>
      </c>
      <c r="O25" s="114" t="s">
        <v>164</v>
      </c>
    </row>
    <row r="26" spans="2:15" ht="50.1" customHeight="1" thickBot="1">
      <c r="B26" s="117"/>
      <c r="C26" s="149" t="s">
        <v>213</v>
      </c>
      <c r="D26" s="150"/>
      <c r="E26" s="121">
        <f>IF(E25=0,0,IF(E24&lt;(E25+E19*40000),IF(E19="",0,IF(E19*40000&lt;=200000,ROUNDDOWN(MIN(E19*40000-(E25+E19*40000-E24),E24-(E25+E19*40000-E24)),-3),200000-(E25+E19*40000-E24))),IF(E19="",0,IF(E19*40000&lt;=200000,ROUNDDOWN(MIN(E19*40000,E24),-3),200000))))</f>
        <v>0</v>
      </c>
      <c r="F26" s="122" t="s">
        <v>27</v>
      </c>
      <c r="G26" s="114" t="s">
        <v>214</v>
      </c>
      <c r="J26" s="117"/>
      <c r="K26" s="149" t="s">
        <v>213</v>
      </c>
      <c r="L26" s="150"/>
      <c r="M26" s="121">
        <f>IF(M25=0,0,IF(M24&lt;(M25+M19*40000),IF(M19="",0,IF(M19*40000&lt;=200000,ROUNDDOWN(MIN(M19*40000-(M25+M19*40000-M24),M24-(M25+M19*40000-M24)),-3),200000-(M25+M19*40000-M24))),IF(M19="",0,IF(M19*40000&lt;=200000,ROUNDDOWN(MIN(M19*40000,M24),-3),200000))))</f>
        <v>0</v>
      </c>
      <c r="N26" s="122" t="s">
        <v>27</v>
      </c>
      <c r="O26" s="114" t="s">
        <v>214</v>
      </c>
    </row>
    <row r="27" spans="2:15" ht="16.5" customHeight="1">
      <c r="B27" s="117"/>
      <c r="C27" s="36"/>
      <c r="D27" s="36"/>
      <c r="E27" s="49"/>
      <c r="F27" s="38"/>
      <c r="G27" s="114"/>
      <c r="J27" s="117"/>
      <c r="K27" s="36"/>
      <c r="L27" s="36"/>
      <c r="M27" s="49"/>
      <c r="N27" s="38"/>
      <c r="O27" s="114"/>
    </row>
    <row r="28" spans="2:15" ht="16.5" customHeight="1">
      <c r="C28" s="28" t="s">
        <v>35</v>
      </c>
      <c r="D28" s="28"/>
      <c r="E28" s="29"/>
      <c r="F28" s="30"/>
      <c r="K28" s="28" t="s">
        <v>35</v>
      </c>
      <c r="L28" s="28"/>
      <c r="M28" s="29"/>
      <c r="N28" s="30"/>
    </row>
    <row r="29" spans="2:15" ht="50.1" customHeight="1">
      <c r="B29" s="117"/>
      <c r="C29" s="151" t="s">
        <v>232</v>
      </c>
      <c r="D29" s="151"/>
      <c r="E29" s="50"/>
      <c r="F29" s="52" t="s">
        <v>241</v>
      </c>
      <c r="G29" s="114" t="s">
        <v>238</v>
      </c>
      <c r="J29" s="117"/>
      <c r="K29" s="151" t="s">
        <v>232</v>
      </c>
      <c r="L29" s="151"/>
      <c r="M29" s="50"/>
      <c r="N29" s="52" t="s">
        <v>241</v>
      </c>
      <c r="O29" s="114" t="s">
        <v>238</v>
      </c>
    </row>
    <row r="30" spans="2:15" ht="50.1" customHeight="1">
      <c r="B30" s="117"/>
      <c r="C30" s="151" t="s">
        <v>249</v>
      </c>
      <c r="D30" s="151"/>
      <c r="E30" s="119" t="str">
        <f>IF(E29="","",E29*51000)</f>
        <v/>
      </c>
      <c r="F30" s="115" t="s">
        <v>239</v>
      </c>
      <c r="G30" s="114" t="s">
        <v>28</v>
      </c>
      <c r="J30" s="117"/>
      <c r="K30" s="151" t="s">
        <v>249</v>
      </c>
      <c r="L30" s="151"/>
      <c r="M30" s="119" t="str">
        <f>IF(M29="","",M29*51000)</f>
        <v/>
      </c>
      <c r="N30" s="115" t="s">
        <v>239</v>
      </c>
      <c r="O30" s="114" t="s">
        <v>28</v>
      </c>
    </row>
    <row r="31" spans="2:15" ht="50.1" customHeight="1">
      <c r="B31" s="117"/>
      <c r="C31" s="162" t="s">
        <v>47</v>
      </c>
      <c r="D31" s="163"/>
      <c r="E31" s="45"/>
      <c r="F31" s="115" t="s">
        <v>48</v>
      </c>
      <c r="G31" s="114" t="s">
        <v>31</v>
      </c>
      <c r="J31" s="117"/>
      <c r="K31" s="162" t="s">
        <v>47</v>
      </c>
      <c r="L31" s="163"/>
      <c r="M31" s="45"/>
      <c r="N31" s="115" t="s">
        <v>48</v>
      </c>
      <c r="O31" s="114" t="s">
        <v>31</v>
      </c>
    </row>
    <row r="32" spans="2:15" ht="50.1" customHeight="1">
      <c r="B32" s="117"/>
      <c r="C32" s="162" t="s">
        <v>52</v>
      </c>
      <c r="D32" s="163"/>
      <c r="E32" s="45"/>
      <c r="F32" s="115" t="s">
        <v>48</v>
      </c>
      <c r="G32" s="114" t="s">
        <v>34</v>
      </c>
      <c r="J32" s="117"/>
      <c r="K32" s="162" t="s">
        <v>52</v>
      </c>
      <c r="L32" s="163"/>
      <c r="M32" s="45"/>
      <c r="N32" s="115" t="s">
        <v>48</v>
      </c>
      <c r="O32" s="114" t="s">
        <v>34</v>
      </c>
    </row>
    <row r="33" spans="2:15" ht="50.1" customHeight="1">
      <c r="B33" s="117"/>
      <c r="C33" s="158" t="s">
        <v>184</v>
      </c>
      <c r="D33" s="159"/>
      <c r="E33" s="97">
        <f>+E31+E32</f>
        <v>0</v>
      </c>
      <c r="F33" s="115" t="s">
        <v>172</v>
      </c>
      <c r="G33" s="114" t="s">
        <v>167</v>
      </c>
      <c r="J33" s="117"/>
      <c r="K33" s="158" t="s">
        <v>184</v>
      </c>
      <c r="L33" s="159"/>
      <c r="M33" s="97">
        <f>+M31+M32</f>
        <v>0</v>
      </c>
      <c r="N33" s="115" t="s">
        <v>172</v>
      </c>
      <c r="O33" s="114" t="s">
        <v>167</v>
      </c>
    </row>
    <row r="34" spans="2:15" ht="50.1" customHeight="1">
      <c r="B34" s="117"/>
      <c r="C34" s="158" t="s">
        <v>187</v>
      </c>
      <c r="D34" s="159"/>
      <c r="E34" s="45"/>
      <c r="F34" s="115" t="s">
        <v>166</v>
      </c>
      <c r="G34" s="114" t="s">
        <v>168</v>
      </c>
      <c r="J34" s="117"/>
      <c r="K34" s="158" t="s">
        <v>187</v>
      </c>
      <c r="L34" s="159"/>
      <c r="M34" s="45"/>
      <c r="N34" s="115" t="s">
        <v>166</v>
      </c>
      <c r="O34" s="114" t="s">
        <v>168</v>
      </c>
    </row>
    <row r="35" spans="2:15" ht="50.1" customHeight="1">
      <c r="B35" s="117"/>
      <c r="C35" s="169" t="s">
        <v>54</v>
      </c>
      <c r="D35" s="169"/>
      <c r="E35" s="119">
        <f>IF(E31+E32-E34="","",E31+E32-E34)</f>
        <v>0</v>
      </c>
      <c r="F35" s="115" t="s">
        <v>173</v>
      </c>
      <c r="G35" s="114" t="s">
        <v>169</v>
      </c>
      <c r="J35" s="117"/>
      <c r="K35" s="169" t="s">
        <v>54</v>
      </c>
      <c r="L35" s="169"/>
      <c r="M35" s="119">
        <f>IF(M31+M32-M34="","",M31+M32-M34)</f>
        <v>0</v>
      </c>
      <c r="N35" s="115" t="s">
        <v>173</v>
      </c>
      <c r="O35" s="114" t="s">
        <v>169</v>
      </c>
    </row>
    <row r="36" spans="2:15" ht="50.1" customHeight="1" thickBot="1">
      <c r="B36" s="117"/>
      <c r="C36" s="151" t="s">
        <v>56</v>
      </c>
      <c r="D36" s="169"/>
      <c r="E36" s="119">
        <f>IF(E35="","",ROUNDDOWN(E35/3,0))</f>
        <v>0</v>
      </c>
      <c r="F36" s="115" t="s">
        <v>174</v>
      </c>
      <c r="G36" s="114" t="s">
        <v>170</v>
      </c>
      <c r="J36" s="117"/>
      <c r="K36" s="151" t="s">
        <v>56</v>
      </c>
      <c r="L36" s="169"/>
      <c r="M36" s="119">
        <f>IF(M35="","",ROUNDDOWN(M35/3,0))</f>
        <v>0</v>
      </c>
      <c r="N36" s="115" t="s">
        <v>174</v>
      </c>
      <c r="O36" s="114" t="s">
        <v>170</v>
      </c>
    </row>
    <row r="37" spans="2:15" ht="50.1" customHeight="1" thickBot="1">
      <c r="B37" s="117"/>
      <c r="C37" s="147" t="s">
        <v>250</v>
      </c>
      <c r="D37" s="148"/>
      <c r="E37" s="121">
        <f>IF(E29="",0,ROUNDDOWN(MIN(E30,E36,750000),-3))</f>
        <v>0</v>
      </c>
      <c r="F37" s="122" t="s">
        <v>228</v>
      </c>
      <c r="G37" s="114" t="s">
        <v>227</v>
      </c>
      <c r="J37" s="117"/>
      <c r="K37" s="147" t="s">
        <v>250</v>
      </c>
      <c r="L37" s="148"/>
      <c r="M37" s="121">
        <f>IF(M29="",0,ROUNDDOWN(MIN(M30,M36,750000),-3))</f>
        <v>0</v>
      </c>
      <c r="N37" s="122" t="s">
        <v>228</v>
      </c>
      <c r="O37" s="114" t="s">
        <v>227</v>
      </c>
    </row>
    <row r="38" spans="2:15" ht="16.5" customHeight="1">
      <c r="B38" s="117"/>
      <c r="C38" s="36"/>
      <c r="D38" s="36"/>
      <c r="E38" s="49"/>
      <c r="F38" s="38"/>
      <c r="G38" s="114"/>
      <c r="J38" s="117"/>
      <c r="K38" s="36"/>
      <c r="L38" s="36"/>
      <c r="M38" s="49"/>
      <c r="N38" s="38"/>
      <c r="O38" s="114"/>
    </row>
    <row r="39" spans="2:15" ht="16.5" customHeight="1">
      <c r="C39" s="28" t="s">
        <v>62</v>
      </c>
      <c r="D39" s="28"/>
      <c r="E39" s="29"/>
      <c r="F39" s="30"/>
      <c r="K39" s="28" t="s">
        <v>62</v>
      </c>
      <c r="L39" s="28"/>
      <c r="M39" s="29"/>
      <c r="N39" s="30"/>
    </row>
    <row r="40" spans="2:15" ht="50.1" customHeight="1">
      <c r="B40" s="117"/>
      <c r="C40" s="162" t="s">
        <v>66</v>
      </c>
      <c r="D40" s="163"/>
      <c r="E40" s="45"/>
      <c r="F40" s="115" t="s">
        <v>27</v>
      </c>
      <c r="G40" s="114" t="s">
        <v>40</v>
      </c>
      <c r="J40" s="117"/>
      <c r="K40" s="162" t="s">
        <v>66</v>
      </c>
      <c r="L40" s="163"/>
      <c r="M40" s="45"/>
      <c r="N40" s="115" t="s">
        <v>27</v>
      </c>
      <c r="O40" s="114" t="s">
        <v>40</v>
      </c>
    </row>
    <row r="41" spans="2:15" ht="50.1" customHeight="1">
      <c r="B41" s="117"/>
      <c r="C41" s="162" t="s">
        <v>68</v>
      </c>
      <c r="D41" s="163"/>
      <c r="E41" s="45"/>
      <c r="F41" s="115" t="s">
        <v>27</v>
      </c>
      <c r="G41" s="114" t="s">
        <v>41</v>
      </c>
      <c r="J41" s="117"/>
      <c r="K41" s="162" t="s">
        <v>68</v>
      </c>
      <c r="L41" s="163"/>
      <c r="M41" s="45"/>
      <c r="N41" s="115" t="s">
        <v>27</v>
      </c>
      <c r="O41" s="114" t="s">
        <v>41</v>
      </c>
    </row>
    <row r="42" spans="2:15" ht="50.1" customHeight="1">
      <c r="B42" s="117"/>
      <c r="C42" s="158" t="s">
        <v>184</v>
      </c>
      <c r="D42" s="159"/>
      <c r="E42" s="97">
        <f>+E40+E41</f>
        <v>0</v>
      </c>
      <c r="F42" s="115" t="s">
        <v>71</v>
      </c>
      <c r="G42" s="114" t="s">
        <v>175</v>
      </c>
      <c r="J42" s="117"/>
      <c r="K42" s="158" t="s">
        <v>184</v>
      </c>
      <c r="L42" s="159"/>
      <c r="M42" s="97">
        <f>+M40+M41</f>
        <v>0</v>
      </c>
      <c r="N42" s="115" t="s">
        <v>71</v>
      </c>
      <c r="O42" s="114" t="s">
        <v>175</v>
      </c>
    </row>
    <row r="43" spans="2:15" ht="50.1" customHeight="1">
      <c r="B43" s="117"/>
      <c r="C43" s="158" t="s">
        <v>187</v>
      </c>
      <c r="D43" s="159"/>
      <c r="E43" s="45"/>
      <c r="F43" s="115" t="s">
        <v>166</v>
      </c>
      <c r="G43" s="114" t="s">
        <v>176</v>
      </c>
      <c r="J43" s="117"/>
      <c r="K43" s="158" t="s">
        <v>187</v>
      </c>
      <c r="L43" s="159"/>
      <c r="M43" s="45"/>
      <c r="N43" s="115" t="s">
        <v>166</v>
      </c>
      <c r="O43" s="114" t="s">
        <v>176</v>
      </c>
    </row>
    <row r="44" spans="2:15" ht="50.1" customHeight="1" thickBot="1">
      <c r="B44" s="117"/>
      <c r="C44" s="162" t="s">
        <v>70</v>
      </c>
      <c r="D44" s="163"/>
      <c r="E44" s="119" t="str">
        <f>IF(E40+E41-E43=0,"",E40+E41-E43)</f>
        <v/>
      </c>
      <c r="F44" s="115" t="s">
        <v>179</v>
      </c>
      <c r="G44" s="114" t="s">
        <v>177</v>
      </c>
      <c r="J44" s="117"/>
      <c r="K44" s="162" t="s">
        <v>70</v>
      </c>
      <c r="L44" s="163"/>
      <c r="M44" s="119" t="str">
        <f>IF(M40+M41-M43=0,"",M40+M41-M43)</f>
        <v/>
      </c>
      <c r="N44" s="115" t="s">
        <v>179</v>
      </c>
      <c r="O44" s="114" t="s">
        <v>177</v>
      </c>
    </row>
    <row r="45" spans="2:15" ht="50.1" customHeight="1" thickBot="1">
      <c r="B45" s="117"/>
      <c r="C45" s="149" t="s">
        <v>160</v>
      </c>
      <c r="D45" s="150"/>
      <c r="E45" s="121">
        <f>IF(E44="",0,IF(E44*0.5&lt;200000,ROUNDDOWN(E44*0.5,-3),200000))</f>
        <v>0</v>
      </c>
      <c r="F45" s="122" t="s">
        <v>27</v>
      </c>
      <c r="G45" s="114" t="s">
        <v>178</v>
      </c>
      <c r="J45" s="117"/>
      <c r="K45" s="149" t="s">
        <v>160</v>
      </c>
      <c r="L45" s="150"/>
      <c r="M45" s="121">
        <f>IF(M44="",0,IF(M44*0.5&lt;200000,ROUNDDOWN(M44*0.5,-3),200000))</f>
        <v>0</v>
      </c>
      <c r="N45" s="122" t="s">
        <v>27</v>
      </c>
      <c r="O45" s="114" t="s">
        <v>178</v>
      </c>
    </row>
    <row r="46" spans="2:15" ht="15.75" customHeight="1">
      <c r="B46" s="117"/>
      <c r="C46" s="36"/>
      <c r="D46" s="36"/>
      <c r="E46" s="49"/>
      <c r="F46" s="38"/>
      <c r="G46" s="114"/>
      <c r="J46" s="117"/>
      <c r="K46" s="36"/>
      <c r="L46" s="36"/>
      <c r="M46" s="49"/>
      <c r="N46" s="38"/>
      <c r="O46" s="114"/>
    </row>
    <row r="47" spans="2:15" ht="16.5" customHeight="1">
      <c r="C47" s="62" t="s">
        <v>134</v>
      </c>
      <c r="D47" s="28"/>
      <c r="E47" s="29"/>
      <c r="F47" s="30"/>
      <c r="K47" s="62" t="s">
        <v>134</v>
      </c>
      <c r="L47" s="28"/>
      <c r="M47" s="29"/>
      <c r="N47" s="30"/>
    </row>
    <row r="48" spans="2:15" ht="50.1" customHeight="1">
      <c r="B48" s="117"/>
      <c r="C48" s="162" t="s">
        <v>77</v>
      </c>
      <c r="D48" s="163"/>
      <c r="E48" s="45"/>
      <c r="F48" s="115" t="s">
        <v>27</v>
      </c>
      <c r="G48" s="114" t="s">
        <v>40</v>
      </c>
      <c r="J48" s="117"/>
      <c r="K48" s="162" t="s">
        <v>77</v>
      </c>
      <c r="L48" s="163"/>
      <c r="M48" s="45"/>
      <c r="N48" s="115" t="s">
        <v>27</v>
      </c>
      <c r="O48" s="114" t="s">
        <v>40</v>
      </c>
    </row>
    <row r="49" spans="2:15" ht="50.1" customHeight="1">
      <c r="B49" s="117"/>
      <c r="C49" s="162" t="s">
        <v>78</v>
      </c>
      <c r="D49" s="163"/>
      <c r="E49" s="45"/>
      <c r="F49" s="115" t="s">
        <v>27</v>
      </c>
      <c r="G49" s="114" t="s">
        <v>41</v>
      </c>
      <c r="J49" s="117"/>
      <c r="K49" s="162" t="s">
        <v>78</v>
      </c>
      <c r="L49" s="163"/>
      <c r="M49" s="45"/>
      <c r="N49" s="115" t="s">
        <v>27</v>
      </c>
      <c r="O49" s="114" t="s">
        <v>41</v>
      </c>
    </row>
    <row r="50" spans="2:15" ht="50.1" customHeight="1">
      <c r="B50" s="117"/>
      <c r="C50" s="158" t="s">
        <v>184</v>
      </c>
      <c r="D50" s="159"/>
      <c r="E50" s="97">
        <f>+E48+E49</f>
        <v>0</v>
      </c>
      <c r="F50" s="115" t="s">
        <v>166</v>
      </c>
      <c r="G50" s="114" t="s">
        <v>180</v>
      </c>
      <c r="J50" s="117"/>
      <c r="K50" s="158" t="s">
        <v>184</v>
      </c>
      <c r="L50" s="159"/>
      <c r="M50" s="97">
        <f>+M48+M49</f>
        <v>0</v>
      </c>
      <c r="N50" s="115" t="s">
        <v>166</v>
      </c>
      <c r="O50" s="114" t="s">
        <v>180</v>
      </c>
    </row>
    <row r="51" spans="2:15" ht="50.1" customHeight="1">
      <c r="B51" s="117"/>
      <c r="C51" s="158" t="s">
        <v>187</v>
      </c>
      <c r="D51" s="159"/>
      <c r="E51" s="45"/>
      <c r="F51" s="115" t="s">
        <v>166</v>
      </c>
      <c r="G51" s="114" t="s">
        <v>176</v>
      </c>
      <c r="J51" s="117"/>
      <c r="K51" s="158" t="s">
        <v>187</v>
      </c>
      <c r="L51" s="159"/>
      <c r="M51" s="45"/>
      <c r="N51" s="115" t="s">
        <v>166</v>
      </c>
      <c r="O51" s="114" t="s">
        <v>176</v>
      </c>
    </row>
    <row r="52" spans="2:15" ht="50.1" customHeight="1" thickBot="1">
      <c r="B52" s="117"/>
      <c r="C52" s="154" t="s">
        <v>79</v>
      </c>
      <c r="D52" s="155"/>
      <c r="E52" s="119" t="str">
        <f>IF(E48+E49-E51=0,"",E48+E49-E51)</f>
        <v/>
      </c>
      <c r="F52" s="115" t="s">
        <v>179</v>
      </c>
      <c r="G52" s="114" t="s">
        <v>177</v>
      </c>
      <c r="J52" s="117"/>
      <c r="K52" s="154" t="s">
        <v>79</v>
      </c>
      <c r="L52" s="155"/>
      <c r="M52" s="119" t="str">
        <f>IF(M48+M49-M51=0,"",M48+M49-M51)</f>
        <v/>
      </c>
      <c r="N52" s="115" t="s">
        <v>179</v>
      </c>
      <c r="O52" s="114" t="s">
        <v>177</v>
      </c>
    </row>
    <row r="53" spans="2:15" ht="50.1" customHeight="1" thickBot="1">
      <c r="B53" s="117"/>
      <c r="C53" s="149" t="s">
        <v>80</v>
      </c>
      <c r="D53" s="150"/>
      <c r="E53" s="121">
        <f>IF(E52="",0,IF(E52*0.5&lt;500000,ROUNDDOWN(E52*0.5,-3),500000))</f>
        <v>0</v>
      </c>
      <c r="F53" s="122" t="s">
        <v>27</v>
      </c>
      <c r="G53" s="114" t="s">
        <v>182</v>
      </c>
      <c r="J53" s="117"/>
      <c r="K53" s="149" t="s">
        <v>80</v>
      </c>
      <c r="L53" s="150"/>
      <c r="M53" s="121">
        <f>IF(M52="",0,IF(M52*0.5&lt;500000,ROUNDDOWN(M52*0.5,-3),500000))</f>
        <v>0</v>
      </c>
      <c r="N53" s="122" t="s">
        <v>27</v>
      </c>
      <c r="O53" s="114" t="s">
        <v>182</v>
      </c>
    </row>
    <row r="54" spans="2:15" ht="15.75" customHeight="1">
      <c r="B54" s="117"/>
      <c r="C54" s="36"/>
      <c r="D54" s="36"/>
      <c r="E54" s="49"/>
      <c r="F54" s="38"/>
      <c r="G54" s="114"/>
      <c r="J54" s="117"/>
      <c r="K54" s="36"/>
      <c r="L54" s="36"/>
      <c r="M54" s="49"/>
      <c r="N54" s="38"/>
      <c r="O54" s="114"/>
    </row>
    <row r="55" spans="2:15" ht="16.5" customHeight="1">
      <c r="C55" s="62" t="s">
        <v>135</v>
      </c>
      <c r="D55" s="28"/>
      <c r="E55" s="29"/>
      <c r="F55" s="30"/>
      <c r="K55" s="62" t="s">
        <v>135</v>
      </c>
      <c r="L55" s="28"/>
      <c r="M55" s="29"/>
      <c r="N55" s="30"/>
    </row>
    <row r="56" spans="2:15" ht="50.1" customHeight="1">
      <c r="B56" s="117"/>
      <c r="C56" s="151" t="s">
        <v>199</v>
      </c>
      <c r="D56" s="151"/>
      <c r="E56" s="90"/>
      <c r="F56" s="101" t="s">
        <v>207</v>
      </c>
      <c r="G56" s="114" t="s">
        <v>40</v>
      </c>
      <c r="J56" s="117"/>
      <c r="K56" s="151" t="s">
        <v>199</v>
      </c>
      <c r="L56" s="151"/>
      <c r="M56" s="90"/>
      <c r="N56" s="101" t="s">
        <v>207</v>
      </c>
      <c r="O56" s="114" t="s">
        <v>40</v>
      </c>
    </row>
    <row r="57" spans="2:15" ht="50.1" customHeight="1">
      <c r="B57" s="117"/>
      <c r="C57" s="151" t="s">
        <v>186</v>
      </c>
      <c r="D57" s="151"/>
      <c r="E57" s="100"/>
      <c r="F57" s="115" t="s">
        <v>142</v>
      </c>
      <c r="G57" s="114" t="s">
        <v>190</v>
      </c>
      <c r="J57" s="117"/>
      <c r="K57" s="151" t="s">
        <v>186</v>
      </c>
      <c r="L57" s="151"/>
      <c r="M57" s="100"/>
      <c r="N57" s="115" t="s">
        <v>142</v>
      </c>
      <c r="O57" s="114" t="s">
        <v>190</v>
      </c>
    </row>
    <row r="58" spans="2:15" ht="50.1" customHeight="1">
      <c r="B58" s="117"/>
      <c r="C58" s="151" t="s">
        <v>144</v>
      </c>
      <c r="D58" s="151"/>
      <c r="E58" s="97">
        <f>E57*0.5*40000</f>
        <v>0</v>
      </c>
      <c r="F58" s="115" t="s">
        <v>166</v>
      </c>
      <c r="G58" s="114" t="s">
        <v>191</v>
      </c>
      <c r="J58" s="117"/>
      <c r="K58" s="151" t="s">
        <v>144</v>
      </c>
      <c r="L58" s="151"/>
      <c r="M58" s="97">
        <f>M57*0.5*40000</f>
        <v>0</v>
      </c>
      <c r="N58" s="115" t="s">
        <v>166</v>
      </c>
      <c r="O58" s="114" t="s">
        <v>191</v>
      </c>
    </row>
    <row r="59" spans="2:15" ht="50.1" customHeight="1">
      <c r="B59" s="117"/>
      <c r="C59" s="162" t="s">
        <v>143</v>
      </c>
      <c r="D59" s="163"/>
      <c r="E59" s="45"/>
      <c r="F59" s="115" t="s">
        <v>27</v>
      </c>
      <c r="G59" s="114" t="s">
        <v>192</v>
      </c>
      <c r="J59" s="117"/>
      <c r="K59" s="162" t="s">
        <v>143</v>
      </c>
      <c r="L59" s="163"/>
      <c r="M59" s="45"/>
      <c r="N59" s="115" t="s">
        <v>27</v>
      </c>
      <c r="O59" s="114" t="s">
        <v>192</v>
      </c>
    </row>
    <row r="60" spans="2:15" ht="50.1" customHeight="1">
      <c r="B60" s="117"/>
      <c r="C60" s="158" t="s">
        <v>184</v>
      </c>
      <c r="D60" s="159"/>
      <c r="E60" s="97">
        <f>+E59</f>
        <v>0</v>
      </c>
      <c r="F60" s="115" t="s">
        <v>197</v>
      </c>
      <c r="G60" s="114" t="s">
        <v>193</v>
      </c>
      <c r="J60" s="117"/>
      <c r="K60" s="158" t="s">
        <v>184</v>
      </c>
      <c r="L60" s="159"/>
      <c r="M60" s="97">
        <f>+M59</f>
        <v>0</v>
      </c>
      <c r="N60" s="115" t="s">
        <v>197</v>
      </c>
      <c r="O60" s="114" t="s">
        <v>193</v>
      </c>
    </row>
    <row r="61" spans="2:15" ht="50.1" customHeight="1">
      <c r="B61" s="117"/>
      <c r="C61" s="158" t="s">
        <v>187</v>
      </c>
      <c r="D61" s="159"/>
      <c r="E61" s="45"/>
      <c r="F61" s="115" t="s">
        <v>166</v>
      </c>
      <c r="G61" s="114" t="s">
        <v>194</v>
      </c>
      <c r="J61" s="117"/>
      <c r="K61" s="158" t="s">
        <v>187</v>
      </c>
      <c r="L61" s="159"/>
      <c r="M61" s="45"/>
      <c r="N61" s="115" t="s">
        <v>166</v>
      </c>
      <c r="O61" s="114" t="s">
        <v>194</v>
      </c>
    </row>
    <row r="62" spans="2:15" ht="50.1" customHeight="1" thickBot="1">
      <c r="B62" s="117"/>
      <c r="C62" s="162" t="s">
        <v>145</v>
      </c>
      <c r="D62" s="163"/>
      <c r="E62" s="119">
        <f>E59-E61</f>
        <v>0</v>
      </c>
      <c r="F62" s="115" t="s">
        <v>198</v>
      </c>
      <c r="G62" s="114" t="s">
        <v>195</v>
      </c>
      <c r="J62" s="117"/>
      <c r="K62" s="162" t="s">
        <v>145</v>
      </c>
      <c r="L62" s="163"/>
      <c r="M62" s="119">
        <f>M59-M61</f>
        <v>0</v>
      </c>
      <c r="N62" s="115" t="s">
        <v>198</v>
      </c>
      <c r="O62" s="114" t="s">
        <v>195</v>
      </c>
    </row>
    <row r="63" spans="2:15" ht="50.1" customHeight="1" thickBot="1">
      <c r="B63" s="117"/>
      <c r="C63" s="149" t="s">
        <v>149</v>
      </c>
      <c r="D63" s="150"/>
      <c r="E63" s="121">
        <f>IF(E62="",0,MIN(ROUNDDOWN(E57*0.5*40000,-3),850000,E56*1000))</f>
        <v>0</v>
      </c>
      <c r="F63" s="122" t="s">
        <v>27</v>
      </c>
      <c r="G63" s="114" t="s">
        <v>196</v>
      </c>
      <c r="J63" s="117"/>
      <c r="K63" s="149" t="s">
        <v>149</v>
      </c>
      <c r="L63" s="150"/>
      <c r="M63" s="121">
        <f>IF(M62="",0,MIN(ROUNDDOWN(M57*0.5*40000,-3),850000,M56*1000))</f>
        <v>0</v>
      </c>
      <c r="N63" s="122" t="s">
        <v>27</v>
      </c>
      <c r="O63" s="114" t="s">
        <v>196</v>
      </c>
    </row>
    <row r="64" spans="2:15" ht="15.75" customHeight="1">
      <c r="B64" s="117"/>
      <c r="C64" s="36"/>
      <c r="D64" s="36"/>
      <c r="E64" s="49"/>
      <c r="F64" s="38"/>
      <c r="G64" s="114"/>
      <c r="J64" s="117"/>
      <c r="K64" s="36"/>
      <c r="L64" s="36"/>
      <c r="M64" s="49"/>
      <c r="N64" s="38"/>
      <c r="O64" s="114"/>
    </row>
    <row r="65" spans="2:15" ht="16.5" customHeight="1">
      <c r="C65" s="62" t="s">
        <v>136</v>
      </c>
      <c r="D65" s="28"/>
      <c r="E65" s="29"/>
      <c r="F65" s="30"/>
      <c r="K65" s="62" t="s">
        <v>136</v>
      </c>
      <c r="L65" s="28"/>
      <c r="M65" s="29"/>
      <c r="N65" s="30"/>
    </row>
    <row r="66" spans="2:15" ht="50.1" customHeight="1">
      <c r="B66" s="117"/>
      <c r="C66" s="151" t="s">
        <v>201</v>
      </c>
      <c r="D66" s="151"/>
      <c r="E66" s="90"/>
      <c r="F66" s="101" t="s">
        <v>207</v>
      </c>
      <c r="G66" s="114" t="s">
        <v>202</v>
      </c>
      <c r="J66" s="117"/>
      <c r="K66" s="151" t="s">
        <v>201</v>
      </c>
      <c r="L66" s="151"/>
      <c r="M66" s="90"/>
      <c r="N66" s="101" t="s">
        <v>207</v>
      </c>
      <c r="O66" s="114" t="s">
        <v>202</v>
      </c>
    </row>
    <row r="67" spans="2:15" ht="50.1" customHeight="1">
      <c r="B67" s="117"/>
      <c r="C67" s="162" t="s">
        <v>155</v>
      </c>
      <c r="D67" s="163"/>
      <c r="E67" s="45"/>
      <c r="F67" s="115" t="s">
        <v>27</v>
      </c>
      <c r="G67" s="114" t="s">
        <v>203</v>
      </c>
      <c r="J67" s="117"/>
      <c r="K67" s="162" t="s">
        <v>155</v>
      </c>
      <c r="L67" s="163"/>
      <c r="M67" s="45"/>
      <c r="N67" s="115" t="s">
        <v>27</v>
      </c>
      <c r="O67" s="114" t="s">
        <v>203</v>
      </c>
    </row>
    <row r="68" spans="2:15" ht="50.1" customHeight="1">
      <c r="B68" s="117"/>
      <c r="C68" s="162" t="s">
        <v>156</v>
      </c>
      <c r="D68" s="163"/>
      <c r="E68" s="45"/>
      <c r="F68" s="115" t="s">
        <v>27</v>
      </c>
      <c r="G68" s="114" t="s">
        <v>190</v>
      </c>
      <c r="J68" s="117"/>
      <c r="K68" s="162" t="s">
        <v>156</v>
      </c>
      <c r="L68" s="163"/>
      <c r="M68" s="45"/>
      <c r="N68" s="115" t="s">
        <v>27</v>
      </c>
      <c r="O68" s="114" t="s">
        <v>190</v>
      </c>
    </row>
    <row r="69" spans="2:15" ht="50.1" customHeight="1">
      <c r="B69" s="117"/>
      <c r="C69" s="158" t="s">
        <v>184</v>
      </c>
      <c r="D69" s="159"/>
      <c r="E69" s="97">
        <f>+E67+E68</f>
        <v>0</v>
      </c>
      <c r="F69" s="115" t="s">
        <v>183</v>
      </c>
      <c r="G69" s="114" t="s">
        <v>191</v>
      </c>
      <c r="J69" s="117"/>
      <c r="K69" s="158" t="s">
        <v>184</v>
      </c>
      <c r="L69" s="159"/>
      <c r="M69" s="97">
        <f>+M67+M68</f>
        <v>0</v>
      </c>
      <c r="N69" s="115" t="s">
        <v>183</v>
      </c>
      <c r="O69" s="114" t="s">
        <v>191</v>
      </c>
    </row>
    <row r="70" spans="2:15" ht="50.1" customHeight="1">
      <c r="B70" s="117"/>
      <c r="C70" s="158" t="s">
        <v>187</v>
      </c>
      <c r="D70" s="159"/>
      <c r="E70" s="45"/>
      <c r="F70" s="115" t="s">
        <v>166</v>
      </c>
      <c r="G70" s="114" t="s">
        <v>192</v>
      </c>
      <c r="J70" s="117"/>
      <c r="K70" s="158" t="s">
        <v>187</v>
      </c>
      <c r="L70" s="159"/>
      <c r="M70" s="45"/>
      <c r="N70" s="115" t="s">
        <v>166</v>
      </c>
      <c r="O70" s="114" t="s">
        <v>192</v>
      </c>
    </row>
    <row r="71" spans="2:15" ht="50.1" customHeight="1" thickBot="1">
      <c r="B71" s="117"/>
      <c r="C71" s="162" t="s">
        <v>158</v>
      </c>
      <c r="D71" s="163"/>
      <c r="E71" s="119">
        <f>E67+E68-E70</f>
        <v>0</v>
      </c>
      <c r="F71" s="115" t="s">
        <v>205</v>
      </c>
      <c r="G71" s="114" t="s">
        <v>193</v>
      </c>
      <c r="J71" s="117"/>
      <c r="K71" s="162" t="s">
        <v>158</v>
      </c>
      <c r="L71" s="163"/>
      <c r="M71" s="119">
        <f>M67+M68-M70</f>
        <v>0</v>
      </c>
      <c r="N71" s="115" t="s">
        <v>205</v>
      </c>
      <c r="O71" s="114" t="s">
        <v>193</v>
      </c>
    </row>
    <row r="72" spans="2:15" ht="50.1" customHeight="1" thickBot="1">
      <c r="B72" s="117"/>
      <c r="C72" s="149" t="s">
        <v>159</v>
      </c>
      <c r="D72" s="150"/>
      <c r="E72" s="121">
        <f>IF(E71="",0,MIN(ROUNDDOWN(E71*0.5,-3),1500000))</f>
        <v>0</v>
      </c>
      <c r="F72" s="122" t="s">
        <v>27</v>
      </c>
      <c r="G72" s="114" t="s">
        <v>204</v>
      </c>
      <c r="J72" s="117"/>
      <c r="K72" s="149" t="s">
        <v>159</v>
      </c>
      <c r="L72" s="150"/>
      <c r="M72" s="121">
        <f>IF(M71="",0,MIN(ROUNDDOWN(M71*0.5,-3),1500000))</f>
        <v>0</v>
      </c>
      <c r="N72" s="122" t="s">
        <v>27</v>
      </c>
      <c r="O72" s="114" t="s">
        <v>204</v>
      </c>
    </row>
    <row r="73" spans="2:15" ht="15.75" customHeight="1">
      <c r="B73" s="117"/>
      <c r="C73" s="36"/>
      <c r="D73" s="36"/>
      <c r="E73" s="49"/>
      <c r="F73" s="38"/>
      <c r="G73" s="114"/>
      <c r="J73" s="117"/>
      <c r="K73" s="36"/>
      <c r="L73" s="36"/>
      <c r="M73" s="49"/>
      <c r="N73" s="38"/>
      <c r="O73" s="114"/>
    </row>
    <row r="74" spans="2:15" ht="15.75" customHeight="1">
      <c r="B74" s="117"/>
      <c r="C74" s="36"/>
      <c r="D74" s="36"/>
      <c r="E74" s="49"/>
      <c r="F74" s="38"/>
      <c r="G74" s="114"/>
      <c r="J74" s="117"/>
      <c r="K74" s="36"/>
      <c r="L74" s="36"/>
      <c r="M74" s="49"/>
      <c r="N74" s="38"/>
      <c r="O74" s="114"/>
    </row>
    <row r="76" spans="2:15" ht="16.5" customHeight="1">
      <c r="B76" s="69" t="s">
        <v>88</v>
      </c>
      <c r="C76" s="111"/>
      <c r="D76" s="69"/>
      <c r="E76" s="29"/>
      <c r="F76" s="30"/>
      <c r="J76" s="69" t="s">
        <v>88</v>
      </c>
      <c r="K76" s="111"/>
      <c r="L76" s="69"/>
      <c r="M76" s="29"/>
      <c r="N76" s="30"/>
    </row>
    <row r="77" spans="2:15" ht="49.5" customHeight="1">
      <c r="C77" s="151" t="s">
        <v>215</v>
      </c>
      <c r="D77" s="151"/>
      <c r="E77" s="124">
        <f>+E25</f>
        <v>0</v>
      </c>
      <c r="F77" s="115" t="s">
        <v>48</v>
      </c>
      <c r="G77" s="116" t="s">
        <v>37</v>
      </c>
      <c r="K77" s="151" t="s">
        <v>215</v>
      </c>
      <c r="L77" s="151"/>
      <c r="M77" s="124">
        <f>+M25</f>
        <v>0</v>
      </c>
      <c r="N77" s="115" t="s">
        <v>48</v>
      </c>
      <c r="O77" s="116" t="s">
        <v>37</v>
      </c>
    </row>
    <row r="78" spans="2:15" ht="49.5" customHeight="1">
      <c r="C78" s="151" t="s">
        <v>220</v>
      </c>
      <c r="D78" s="151"/>
      <c r="E78" s="124">
        <f>+E26</f>
        <v>0</v>
      </c>
      <c r="F78" s="115" t="s">
        <v>48</v>
      </c>
      <c r="G78" s="116" t="s">
        <v>84</v>
      </c>
      <c r="K78" s="151" t="s">
        <v>220</v>
      </c>
      <c r="L78" s="151"/>
      <c r="M78" s="124">
        <f>+M26</f>
        <v>0</v>
      </c>
      <c r="N78" s="115" t="s">
        <v>48</v>
      </c>
      <c r="O78" s="116" t="s">
        <v>84</v>
      </c>
    </row>
    <row r="79" spans="2:15" ht="49.5" customHeight="1">
      <c r="C79" s="151" t="s">
        <v>89</v>
      </c>
      <c r="D79" s="151"/>
      <c r="E79" s="124">
        <f>+E37</f>
        <v>0</v>
      </c>
      <c r="F79" s="115" t="s">
        <v>48</v>
      </c>
      <c r="G79" s="116" t="s">
        <v>85</v>
      </c>
      <c r="K79" s="151" t="s">
        <v>89</v>
      </c>
      <c r="L79" s="151"/>
      <c r="M79" s="124">
        <f>+M37</f>
        <v>0</v>
      </c>
      <c r="N79" s="115" t="s">
        <v>48</v>
      </c>
      <c r="O79" s="116" t="s">
        <v>85</v>
      </c>
    </row>
    <row r="80" spans="2:15" ht="49.5" customHeight="1">
      <c r="C80" s="151" t="s">
        <v>90</v>
      </c>
      <c r="D80" s="151"/>
      <c r="E80" s="124">
        <f>+E45</f>
        <v>0</v>
      </c>
      <c r="F80" s="115" t="s">
        <v>48</v>
      </c>
      <c r="G80" s="116" t="s">
        <v>87</v>
      </c>
      <c r="K80" s="151" t="s">
        <v>90</v>
      </c>
      <c r="L80" s="151"/>
      <c r="M80" s="124">
        <f>+M45</f>
        <v>0</v>
      </c>
      <c r="N80" s="115" t="s">
        <v>48</v>
      </c>
      <c r="O80" s="116" t="s">
        <v>87</v>
      </c>
    </row>
    <row r="81" spans="3:15" ht="49.5" customHeight="1">
      <c r="C81" s="157" t="s">
        <v>91</v>
      </c>
      <c r="D81" s="157"/>
      <c r="E81" s="71">
        <f>+E53</f>
        <v>0</v>
      </c>
      <c r="F81" s="72" t="s">
        <v>48</v>
      </c>
      <c r="G81" s="116" t="s">
        <v>202</v>
      </c>
      <c r="K81" s="157" t="s">
        <v>91</v>
      </c>
      <c r="L81" s="157"/>
      <c r="M81" s="71">
        <f>+M53</f>
        <v>0</v>
      </c>
      <c r="N81" s="72" t="s">
        <v>48</v>
      </c>
      <c r="O81" s="116" t="s">
        <v>202</v>
      </c>
    </row>
    <row r="82" spans="3:15" ht="49.5" customHeight="1">
      <c r="C82" s="157" t="s">
        <v>150</v>
      </c>
      <c r="D82" s="157"/>
      <c r="E82" s="71">
        <f>E63</f>
        <v>0</v>
      </c>
      <c r="F82" s="72" t="s">
        <v>48</v>
      </c>
      <c r="G82" s="116" t="s">
        <v>203</v>
      </c>
      <c r="K82" s="157" t="s">
        <v>150</v>
      </c>
      <c r="L82" s="157"/>
      <c r="M82" s="71">
        <f>M63</f>
        <v>0</v>
      </c>
      <c r="N82" s="72" t="s">
        <v>48</v>
      </c>
      <c r="O82" s="116" t="s">
        <v>203</v>
      </c>
    </row>
    <row r="83" spans="3:15" ht="49.5" customHeight="1" thickBot="1">
      <c r="C83" s="157" t="s">
        <v>151</v>
      </c>
      <c r="D83" s="157"/>
      <c r="E83" s="71">
        <f>E72</f>
        <v>0</v>
      </c>
      <c r="F83" s="72" t="s">
        <v>48</v>
      </c>
      <c r="G83" s="116" t="s">
        <v>190</v>
      </c>
      <c r="K83" s="157" t="s">
        <v>151</v>
      </c>
      <c r="L83" s="157"/>
      <c r="M83" s="71">
        <f>M72</f>
        <v>0</v>
      </c>
      <c r="N83" s="72" t="s">
        <v>48</v>
      </c>
      <c r="O83" s="116" t="s">
        <v>190</v>
      </c>
    </row>
    <row r="84" spans="3:15" ht="49.5" customHeight="1" thickBot="1">
      <c r="C84" s="152" t="s">
        <v>92</v>
      </c>
      <c r="D84" s="153"/>
      <c r="E84" s="125">
        <f>SUM(E77:E83)</f>
        <v>0</v>
      </c>
      <c r="F84" s="122" t="s">
        <v>221</v>
      </c>
      <c r="G84" s="116" t="s">
        <v>216</v>
      </c>
      <c r="K84" s="152" t="s">
        <v>92</v>
      </c>
      <c r="L84" s="153"/>
      <c r="M84" s="125">
        <f>SUM(M77:M83)</f>
        <v>0</v>
      </c>
      <c r="N84" s="122" t="s">
        <v>221</v>
      </c>
      <c r="O84" s="116" t="s">
        <v>216</v>
      </c>
    </row>
    <row r="85" spans="3:15" ht="49.5" customHeight="1" thickBot="1">
      <c r="C85" s="152" t="s">
        <v>222</v>
      </c>
      <c r="D85" s="153"/>
      <c r="E85" s="125">
        <f>+E77+E79+E80+E81+E82+E83</f>
        <v>0</v>
      </c>
      <c r="F85" s="122" t="s">
        <v>218</v>
      </c>
      <c r="G85" s="116" t="s">
        <v>217</v>
      </c>
      <c r="K85" s="152" t="s">
        <v>222</v>
      </c>
      <c r="L85" s="153"/>
      <c r="M85" s="125">
        <f>+M77+M79+M80+M81+M82+M83</f>
        <v>0</v>
      </c>
      <c r="N85" s="122" t="s">
        <v>218</v>
      </c>
      <c r="O85" s="116" t="s">
        <v>217</v>
      </c>
    </row>
    <row r="86" spans="3:15" ht="49.5" customHeight="1" thickBot="1">
      <c r="C86" s="152" t="s">
        <v>223</v>
      </c>
      <c r="D86" s="153"/>
      <c r="E86" s="125">
        <f>+E78</f>
        <v>0</v>
      </c>
      <c r="F86" s="122" t="s">
        <v>219</v>
      </c>
      <c r="G86" s="116" t="s">
        <v>224</v>
      </c>
      <c r="K86" s="152" t="s">
        <v>223</v>
      </c>
      <c r="L86" s="153"/>
      <c r="M86" s="125">
        <f>+M78</f>
        <v>0</v>
      </c>
      <c r="N86" s="122" t="s">
        <v>219</v>
      </c>
      <c r="O86" s="116" t="s">
        <v>224</v>
      </c>
    </row>
  </sheetData>
  <sheetProtection sheet="1" objects="1" scenarios="1" selectLockedCells="1"/>
  <mergeCells count="116">
    <mergeCell ref="K82:L82"/>
    <mergeCell ref="K83:L83"/>
    <mergeCell ref="K84:L84"/>
    <mergeCell ref="K85:L85"/>
    <mergeCell ref="K86:L86"/>
    <mergeCell ref="K72:L72"/>
    <mergeCell ref="K77:L77"/>
    <mergeCell ref="K78:L78"/>
    <mergeCell ref="K79:L79"/>
    <mergeCell ref="K80:L80"/>
    <mergeCell ref="K81:L81"/>
    <mergeCell ref="K41:L41"/>
    <mergeCell ref="K42:L42"/>
    <mergeCell ref="K43:L43"/>
    <mergeCell ref="K44:L44"/>
    <mergeCell ref="K66:L66"/>
    <mergeCell ref="K67:L67"/>
    <mergeCell ref="K68:L68"/>
    <mergeCell ref="K69:L69"/>
    <mergeCell ref="K70:L70"/>
    <mergeCell ref="K53:L53"/>
    <mergeCell ref="K56:L56"/>
    <mergeCell ref="K57:L57"/>
    <mergeCell ref="K58:L58"/>
    <mergeCell ref="K59:L59"/>
    <mergeCell ref="K60:L60"/>
    <mergeCell ref="C86:D86"/>
    <mergeCell ref="C15:D15"/>
    <mergeCell ref="J2:M2"/>
    <mergeCell ref="K15:L15"/>
    <mergeCell ref="K17:L17"/>
    <mergeCell ref="K18:L18"/>
    <mergeCell ref="K19:L19"/>
    <mergeCell ref="K20:L20"/>
    <mergeCell ref="K21:L21"/>
    <mergeCell ref="K22:L22"/>
    <mergeCell ref="C80:D80"/>
    <mergeCell ref="C81:D81"/>
    <mergeCell ref="C82:D82"/>
    <mergeCell ref="C83:D83"/>
    <mergeCell ref="C84:D84"/>
    <mergeCell ref="C85:D85"/>
    <mergeCell ref="C72:D72"/>
    <mergeCell ref="C77:D77"/>
    <mergeCell ref="K45:L45"/>
    <mergeCell ref="K48:L48"/>
    <mergeCell ref="K49:L49"/>
    <mergeCell ref="K50:L50"/>
    <mergeCell ref="K51:L51"/>
    <mergeCell ref="K52:L52"/>
    <mergeCell ref="C78:D78"/>
    <mergeCell ref="C79:D79"/>
    <mergeCell ref="C67:D67"/>
    <mergeCell ref="C68:D68"/>
    <mergeCell ref="C69:D69"/>
    <mergeCell ref="C70:D70"/>
    <mergeCell ref="C71:D71"/>
    <mergeCell ref="C66:D66"/>
    <mergeCell ref="K61:L61"/>
    <mergeCell ref="K62:L62"/>
    <mergeCell ref="K63:L63"/>
    <mergeCell ref="K71:L71"/>
    <mergeCell ref="C59:D59"/>
    <mergeCell ref="C60:D60"/>
    <mergeCell ref="C61:D61"/>
    <mergeCell ref="C62:D62"/>
    <mergeCell ref="C63:D63"/>
    <mergeCell ref="C56:D56"/>
    <mergeCell ref="C57:D57"/>
    <mergeCell ref="C58:D58"/>
    <mergeCell ref="C52:D52"/>
    <mergeCell ref="C53:D53"/>
    <mergeCell ref="C48:D48"/>
    <mergeCell ref="C49:D49"/>
    <mergeCell ref="C50:D50"/>
    <mergeCell ref="C51:D51"/>
    <mergeCell ref="C44:D44"/>
    <mergeCell ref="C45:D45"/>
    <mergeCell ref="C41:D41"/>
    <mergeCell ref="C42:D42"/>
    <mergeCell ref="C43:D43"/>
    <mergeCell ref="K34:L34"/>
    <mergeCell ref="K35:L35"/>
    <mergeCell ref="K36:L36"/>
    <mergeCell ref="C37:D37"/>
    <mergeCell ref="C40:D40"/>
    <mergeCell ref="C33:D33"/>
    <mergeCell ref="C34:D34"/>
    <mergeCell ref="C35:D35"/>
    <mergeCell ref="C36:D36"/>
    <mergeCell ref="K37:L37"/>
    <mergeCell ref="K40:L40"/>
    <mergeCell ref="C31:D31"/>
    <mergeCell ref="C32:D32"/>
    <mergeCell ref="C29:D29"/>
    <mergeCell ref="C22:D22"/>
    <mergeCell ref="C23:D23"/>
    <mergeCell ref="C24:D24"/>
    <mergeCell ref="C25:D25"/>
    <mergeCell ref="C26:D26"/>
    <mergeCell ref="K33:L33"/>
    <mergeCell ref="K25:L25"/>
    <mergeCell ref="K26:L26"/>
    <mergeCell ref="K29:L29"/>
    <mergeCell ref="K30:L30"/>
    <mergeCell ref="K31:L31"/>
    <mergeCell ref="K32:L32"/>
    <mergeCell ref="C17:D17"/>
    <mergeCell ref="C18:D18"/>
    <mergeCell ref="C19:D19"/>
    <mergeCell ref="C20:D20"/>
    <mergeCell ref="C21:D21"/>
    <mergeCell ref="K23:L23"/>
    <mergeCell ref="K24:L24"/>
    <mergeCell ref="B2:E2"/>
    <mergeCell ref="C30:D30"/>
  </mergeCells>
  <phoneticPr fontId="3"/>
  <dataValidations count="7">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56 E66 M56 M66"/>
    <dataValidation imeMode="halfAlpha" allowBlank="1" showInputMessage="1" showErrorMessage="1" prompt="当該メニューを申請する場合は必ず入力してください。" sqref="E57 M57"/>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M29"/>
    <dataValidation imeMode="halfAlpha" allowBlank="1" showInputMessage="1" showErrorMessage="1" prompt="小数点以下も入力してください。" sqref="E17:E18 M17:M18"/>
    <dataValidation imeMode="halfAlpha" allowBlank="1" showInputMessage="1" showErrorMessage="1" prompt="「税抜」の金額を入力してください。" sqref="E40:E43 E20:E23 E59:E61 E31:E34 E48:E51 E67:E70 M40:M43 M20:M23 M59:M61 M31:M34 M48:M51 M67:M70"/>
    <dataValidation imeMode="halfAlpha" allowBlank="1" showErrorMessage="1" prompt="小数点以下も入力してください。" sqref="E15 M15"/>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E29"/>
  </dataValidations>
  <pageMargins left="0.62992125984251968" right="0.23622047244094491" top="0.74803149606299213" bottom="0.55118110236220474" header="0.31496062992125984" footer="0.31496062992125984"/>
  <pageSetup paperSize="9" scale="51" fitToHeight="0" orientation="portrait" blackAndWhite="1" r:id="rId1"/>
  <headerFooter>
    <oddFooter>&amp;C&amp;P/&amp;N</oddFooter>
  </headerFooter>
  <rowBreaks count="2" manualBreakCount="2">
    <brk id="38" max="14" man="1"/>
    <brk id="7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補助対象経費等確認・計算書</vt:lpstr>
      <vt:lpstr>高効率給湯器（新設）</vt:lpstr>
      <vt:lpstr>高効率給湯器（交換）</vt:lpstr>
      <vt:lpstr>【参考】見積書採用判定シート</vt:lpstr>
      <vt:lpstr>【参考】見積書採用判定シート!Print_Area</vt:lpstr>
      <vt:lpstr>補助対象経費等確認・計算書!Print_Area</vt:lpstr>
      <vt:lpstr>【参考】見積書採用判定シート!Print_Titles</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2026-04-03T04:12:43Z</cp:lastPrinted>
  <dcterms:created xsi:type="dcterms:W3CDTF">2023-09-26T16:26:06Z</dcterms:created>
  <dcterms:modified xsi:type="dcterms:W3CDTF">2026-04-03T04:12:49Z</dcterms:modified>
</cp:coreProperties>
</file>