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補助対象経費等確認・計算書!$A$1:$I$118</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F50" i="1" l="1"/>
  <c r="J50" i="1"/>
  <c r="H32" i="1" l="1"/>
  <c r="J25" i="1"/>
  <c r="E41" i="1" l="1"/>
  <c r="J33" i="1"/>
  <c r="H105" i="1"/>
  <c r="J105" i="1"/>
  <c r="X12" i="1"/>
  <c r="C50" i="1" l="1"/>
  <c r="J100" i="1"/>
  <c r="J87" i="1"/>
  <c r="J81" i="1" l="1"/>
  <c r="F39" i="1" l="1"/>
  <c r="J94" i="1" l="1"/>
  <c r="J80" i="1" l="1"/>
  <c r="E83" i="1" l="1"/>
  <c r="X10" i="1" l="1"/>
  <c r="E98" i="1" l="1"/>
  <c r="E85" i="1"/>
  <c r="E70" i="1"/>
  <c r="E59" i="1"/>
  <c r="E32" i="1"/>
  <c r="E47" i="1"/>
  <c r="E45" i="1"/>
  <c r="E30" i="1"/>
  <c r="E49" i="1" l="1"/>
  <c r="H50" i="1" s="1"/>
  <c r="J92" i="1"/>
  <c r="J93" i="1"/>
  <c r="J95" i="1"/>
  <c r="J96" i="1"/>
  <c r="J97" i="1"/>
  <c r="J91" i="1"/>
  <c r="J76" i="1" l="1"/>
  <c r="J77" i="1"/>
  <c r="J78" i="1"/>
  <c r="J79" i="1"/>
  <c r="J82" i="1"/>
  <c r="J84" i="1"/>
  <c r="Z137" i="1" l="1"/>
  <c r="Z136" i="1"/>
  <c r="Z135" i="1"/>
  <c r="Z134" i="1"/>
  <c r="Z133" i="1"/>
  <c r="Z132" i="1"/>
  <c r="Z131" i="1"/>
  <c r="Z130" i="1"/>
  <c r="Z129" i="1"/>
  <c r="Z128" i="1"/>
  <c r="Z127" i="1"/>
  <c r="Z126" i="1"/>
  <c r="Z125" i="1"/>
  <c r="Z124" i="1"/>
  <c r="Z123" i="1"/>
  <c r="J72" i="1"/>
  <c r="J69" i="1"/>
  <c r="J68" i="1"/>
  <c r="J67" i="1"/>
  <c r="J65" i="1"/>
  <c r="J62" i="1"/>
  <c r="Y57" i="1"/>
  <c r="J54" i="1"/>
  <c r="J48" i="1"/>
  <c r="J42" i="1"/>
  <c r="E42" i="1"/>
  <c r="J40" i="1"/>
  <c r="J38" i="1"/>
  <c r="J37" i="1"/>
  <c r="J32" i="1"/>
  <c r="J27" i="1"/>
  <c r="E27" i="1"/>
  <c r="J24" i="1"/>
  <c r="J23" i="1"/>
  <c r="X17" i="1"/>
  <c r="J17" i="1"/>
  <c r="X16" i="1"/>
  <c r="J16" i="1"/>
  <c r="X15" i="1"/>
  <c r="J15" i="1"/>
  <c r="X6" i="1"/>
  <c r="X4" i="1"/>
  <c r="H1" i="1"/>
  <c r="G1" i="1"/>
  <c r="X2" i="1" l="1"/>
  <c r="H17" i="1" s="1"/>
  <c r="Z55" i="1"/>
  <c r="Y56" i="1"/>
  <c r="Z56" i="1"/>
  <c r="Y55" i="1"/>
  <c r="E48" i="1"/>
  <c r="H72" i="1" l="1"/>
  <c r="E72" i="1" s="1"/>
  <c r="E73" i="1" s="1"/>
  <c r="E112" i="1" s="1"/>
  <c r="H61" i="1"/>
  <c r="E61" i="1" s="1"/>
  <c r="J18" i="1"/>
  <c r="Y58" i="1"/>
  <c r="E33" i="1" l="1"/>
  <c r="E34" i="1" s="1"/>
  <c r="E109" i="1" s="1"/>
  <c r="E117" i="1" s="1"/>
  <c r="J51" i="1"/>
  <c r="E62" i="1"/>
  <c r="E111" i="1" s="1"/>
  <c r="H87" i="1"/>
  <c r="J56" i="1"/>
  <c r="J55" i="1"/>
  <c r="E51" i="1" l="1"/>
  <c r="E110" i="1" s="1"/>
  <c r="E108" i="1"/>
  <c r="H100" i="1"/>
  <c r="E87" i="1"/>
  <c r="E88" i="1" l="1"/>
  <c r="E113" i="1" s="1"/>
  <c r="E100" i="1"/>
  <c r="E101" i="1" s="1"/>
  <c r="E114" i="1" l="1"/>
  <c r="E115" i="1" s="1"/>
  <c r="E116" i="1" l="1"/>
</calcChain>
</file>

<file path=xl/comments1.xml><?xml version="1.0" encoding="utf-8"?>
<comments xmlns="http://schemas.openxmlformats.org/spreadsheetml/2006/main">
  <authors>
    <author>作成者</author>
  </authors>
  <commentList>
    <comment ref="E55"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6"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<sst xmlns="http://schemas.openxmlformats.org/spreadsheetml/2006/main" count="637" uniqueCount="251">
  <si>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</si>
  <si>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</si>
  <si>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</si>
  <si>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</si>
  <si>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</si>
  <si>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</si>
  <si>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</si>
  <si>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</si>
  <si>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</si>
  <si>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</si>
  <si>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</si>
  <si>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</si>
  <si>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</si>
  <si>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</si>
  <si>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</si>
  <si>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</si>
  <si>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</si>
  <si>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</si>
  <si>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</si>
  <si>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</si>
  <si>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</si>
  <si>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</si>
  <si>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</si>
  <si>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</si>
  <si>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</si>
  <si>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</si>
  <si>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</si>
  <si>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</si>
  <si>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</si>
  <si>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</si>
  <si>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</si>
  <si>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</si>
  <si>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</si>
  <si>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</si>
  <si>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</si>
  <si>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</si>
  <si>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</si>
  <si>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</si>
  <si>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</si>
  <si>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</si>
  <si>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</si>
  <si>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</si>
  <si>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</si>
  <si>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</si>
  <si>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</si>
  <si>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</si>
  <si>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</si>
  <si>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</si>
  <si>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</si>
  <si>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</si>
  <si>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</si>
  <si>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</si>
  <si>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</si>
  <si>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</si>
  <si>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</si>
  <si>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</si>
  <si>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</si>
  <si>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</si>
  <si>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</si>
  <si>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</si>
  <si>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</si>
  <si>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</si>
  <si>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</si>
  <si>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</si>
  <si>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</si>
  <si>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</si>
  <si>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</si>
  <si>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</si>
  <si>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</si>
  <si>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</si>
  <si>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</si>
  <si>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</si>
  <si>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</si>
  <si>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</si>
  <si>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</si>
  <si>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</si>
  <si>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</si>
  <si>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</si>
  <si>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</si>
  <si>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</si>
  <si>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</si>
  <si>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</si>
  <si>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</si>
  <si>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</si>
  <si>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</si>
  <si>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</si>
  <si>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</si>
  <si>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</si>
  <si>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</si>
  <si>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</si>
  <si>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</si>
  <si>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</si>
  <si>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</si>
  <si>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</si>
  <si>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</si>
  <si>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</si>
  <si>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</si>
  <si>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</si>
  <si>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</si>
  <si>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</si>
  <si>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</si>
  <si>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</si>
  <si>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</si>
  <si>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</si>
  <si>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</si>
  <si>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</si>
  <si>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</si>
  <si>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</si>
  <si>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</si>
  <si>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</si>
  <si>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</si>
  <si>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</si>
  <si>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</si>
  <si>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</si>
  <si>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</si>
  <si>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</si>
  <si>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</si>
  <si>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</si>
  <si>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</si>
  <si>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</si>
  <si>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</si>
  <si>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</si>
  <si>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</si>
  <si>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</si>
  <si>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</si>
  <si>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</si>
  <si>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</si>
  <si>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</si>
  <si>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</si>
  <si>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</si>
  <si>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</si>
  <si>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</si>
  <si>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</si>
  <si>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</si>
  <si>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</si>
  <si>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</si>
  <si>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</si>
  <si>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</si>
  <si>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</si>
  <si>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</si>
  <si>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</si>
  <si>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</si>
  <si>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</si>
  <si>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</si>
  <si>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</si>
  <si>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</si>
  <si>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</si>
  <si>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</si>
  <si>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</si>
  <si>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</si>
  <si>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</si>
  <si>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</si>
  <si>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</si>
  <si>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</si>
  <si>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</si>
  <si>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</si>
  <si>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</si>
  <si>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</si>
  <si>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</si>
  <si>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</si>
  <si>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</si>
  <si>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</si>
  <si>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</si>
  <si>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</si>
  <si>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</si>
  <si>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</si>
  <si>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</si>
  <si>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</si>
  <si>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</si>
  <si>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</si>
  <si>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</si>
  <si>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</si>
  <si>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</si>
  <si>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</si>
  <si>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</si>
  <si>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</si>
  <si>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</si>
  <si>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</si>
  <si>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</si>
  <si>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</si>
  <si>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</si>
  <si>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</si>
  <si>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</si>
  <si>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</si>
  <si>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</si>
  <si>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</si>
  <si>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</si>
  <si>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</si>
  <si>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</si>
  <si>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</si>
  <si>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</si>
  <si>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</si>
  <si>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</si>
  <si>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</si>
  <si>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</si>
  <si>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</si>
  <si>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</si>
  <si>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</si>
  <si>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</si>
  <si>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</si>
  <si>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</si>
  <si>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</si>
  <si>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</si>
  <si>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</si>
  <si>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</si>
  <si>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</si>
  <si>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</si>
  <si>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</si>
  <si>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</si>
  <si>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</si>
  <si>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</si>
  <si>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</si>
  <si>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</si>
  <si>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</si>
  <si>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</si>
  <si>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</si>
  <si>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</si>
  <si>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</si>
  <si>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</si>
  <si>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</si>
  <si>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</si>
  <si>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</si>
  <si>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</si>
  <si>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千円</t>
    <rPh sb="0" eb="2">
      <t>センエン</t>
    </rPh>
    <phoneticPr fontId="3"/>
  </si>
  <si>
    <t>手続代行者法人名</t>
    <rPh sb="2" eb="4">
      <t>ダイコウ</t>
    </rPh>
    <rPh sb="4" eb="5">
      <t>シャ</t>
    </rPh>
    <rPh sb="5" eb="7">
      <t>ホウジン</t>
    </rPh>
    <rPh sb="7" eb="8">
      <t>メイ</t>
    </rPh>
    <phoneticPr fontId="11"/>
  </si>
  <si>
    <t>担当者氏名</t>
    <phoneticPr fontId="3"/>
  </si>
  <si>
    <t>該当する場合に記入</t>
    <phoneticPr fontId="3"/>
  </si>
  <si>
    <t>(交付申請時に提出）</t>
    <rPh sb="1" eb="3">
      <t>コウフ</t>
    </rPh>
    <rPh sb="3" eb="5">
      <t>シンセイ</t>
    </rPh>
    <rPh sb="5" eb="6">
      <t>ジ</t>
    </rPh>
    <rPh sb="7" eb="9">
      <t>テイシュツ</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</si>
  <si>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</si>
  <si>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</si>
  <si>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</si>
  <si>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</si>
  <si>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</si>
  <si>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</si>
  <si>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</si>
  <si>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</si>
  <si>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</si>
  <si>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</si>
  <si>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</si>
  <si>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</si>
  <si>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</si>
  <si>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</si>
  <si>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</si>
  <si>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</si>
  <si>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</si>
  <si>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</si>
  <si>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</si>
  <si>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蓄電池の補助交付申請額
（補助対象費用の３分の１。定格容量×51,000円が上限。75万円が上限。）(千円未満切り捨て)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38" eb="40">
      <t>ジョウゲン</t>
    </rPh>
    <rPh sb="43" eb="45">
      <t>マンエン</t>
    </rPh>
    <rPh sb="46" eb="48">
      <t>ジョウゲン</t>
    </rPh>
    <phoneticPr fontId="22"/>
  </si>
  <si>
    <t>交付申請にあたってそれぞれの見積書に基づいて算出した補助金の申請額が異なる場合は、低い方の額となる見積書を採用したか</t>
    <phoneticPr fontId="3"/>
  </si>
  <si>
    <t>該当する場合に記入</t>
    <rPh sb="0" eb="2">
      <t>ガイトウ</t>
    </rPh>
    <rPh sb="4" eb="6">
      <t>バアイ</t>
    </rPh>
    <rPh sb="7" eb="9">
      <t>キニュウ</t>
    </rPh>
    <phoneticPr fontId="3"/>
  </si>
  <si>
    <t>フリガナ</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</si>
</sst>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8">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80" fontId="23" fillId="3" borderId="3" xfId="1" applyNumberFormat="1" applyFont="1" applyFill="1" applyBorder="1" applyAlignment="1" applyProtection="1">
      <alignment horizontal="center" vertical="center" wrapText="1"/>
      <protection locked="0"/>
    </xf>
    <xf numFmtId="0" fontId="16" fillId="2" borderId="1"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4"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4" fillId="2" borderId="14" xfId="2" applyFont="1" applyFill="1" applyBorder="1" applyAlignment="1" applyProtection="1">
      <alignment horizontal="left" vertical="center" wrapTex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14" fillId="2" borderId="19" xfId="2" applyFont="1" applyFill="1" applyBorder="1" applyAlignment="1" applyProtection="1">
      <alignment horizontal="left" vertical="center" wrapText="1"/>
    </xf>
    <xf numFmtId="0" fontId="19" fillId="0" borderId="0" xfId="1" applyFont="1" applyAlignment="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114300</xdr:colOff>
      <xdr:row>33</xdr:row>
      <xdr:rowOff>95250</xdr:rowOff>
    </xdr:from>
    <xdr:to>
      <xdr:col>4</xdr:col>
      <xdr:colOff>2781300</xdr:colOff>
      <xdr:row>33</xdr:row>
      <xdr:rowOff>542925</xdr:rowOff>
    </xdr:to>
    <xdr:sp macro="" textlink="">
      <xdr:nvSpPr>
        <xdr:cNvPr id="2" name="テキスト ボックス 1"/>
        <xdr:cNvSpPr txBox="1"/>
      </xdr:nvSpPr>
      <xdr:spPr>
        <a:xfrm>
          <a:off x="3429000" y="20840700"/>
          <a:ext cx="2667000"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76200</xdr:colOff>
      <xdr:row>116</xdr:row>
      <xdr:rowOff>76200</xdr:rowOff>
    </xdr:from>
    <xdr:to>
      <xdr:col>4</xdr:col>
      <xdr:colOff>2743200</xdr:colOff>
      <xdr:row>116</xdr:row>
      <xdr:rowOff>523875</xdr:rowOff>
    </xdr:to>
    <xdr:sp macro="" textlink="">
      <xdr:nvSpPr>
        <xdr:cNvPr id="3" name="テキスト ボックス 2"/>
        <xdr:cNvSpPr txBox="1"/>
      </xdr:nvSpPr>
      <xdr:spPr>
        <a:xfrm>
          <a:off x="3390900" y="66627375"/>
          <a:ext cx="2667000"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123825</xdr:colOff>
      <xdr:row>114</xdr:row>
      <xdr:rowOff>95250</xdr:rowOff>
    </xdr:from>
    <xdr:to>
      <xdr:col>4</xdr:col>
      <xdr:colOff>2790825</xdr:colOff>
      <xdr:row>114</xdr:row>
      <xdr:rowOff>542925</xdr:rowOff>
    </xdr:to>
    <xdr:sp macro="" textlink="">
      <xdr:nvSpPr>
        <xdr:cNvPr id="4" name="テキスト ボックス 3"/>
        <xdr:cNvSpPr txBox="1"/>
      </xdr:nvSpPr>
      <xdr:spPr>
        <a:xfrm>
          <a:off x="3438525" y="65389125"/>
          <a:ext cx="2667000"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114300</xdr:colOff>
      <xdr:row>108</xdr:row>
      <xdr:rowOff>95250</xdr:rowOff>
    </xdr:from>
    <xdr:to>
      <xdr:col>4</xdr:col>
      <xdr:colOff>2781300</xdr:colOff>
      <xdr:row>108</xdr:row>
      <xdr:rowOff>542925</xdr:rowOff>
    </xdr:to>
    <xdr:sp macro="" textlink="">
      <xdr:nvSpPr>
        <xdr:cNvPr id="5" name="テキスト ボックス 4"/>
        <xdr:cNvSpPr txBox="1"/>
      </xdr:nvSpPr>
      <xdr:spPr>
        <a:xfrm>
          <a:off x="3429000" y="61617225"/>
          <a:ext cx="2667000"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11" Type="http://schemas.openxmlformats.org/officeDocument/2006/relationships/comments" Target="../comments1.xml"/><Relationship Id="rId5" Type="http://schemas.openxmlformats.org/officeDocument/2006/relationships/hyperlink" Target="https://www.cev-pc.or.jp/" TargetMode="External"/><Relationship Id="rId10" Type="http://schemas.openxmlformats.org/officeDocument/2006/relationships/vmlDrawing" Target="../drawings/vmlDrawing1.vml"/><Relationship Id="rId4" Type="http://schemas.openxmlformats.org/officeDocument/2006/relationships/hyperlink" Target="https://www.cev-pc.or.jp/"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7"/>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IF(E6="","","申請者：")</f>
        <v/>
      </c>
      <c r="H1" s="142" t="str">
        <f>IF(E6="","","  "&amp;E6)</f>
        <v/>
      </c>
      <c r="I1" s="142"/>
    </row>
    <row r="2" spans="1:25" ht="33.6" customHeight="1">
      <c r="A2" s="7"/>
      <c r="B2" s="143" t="s">
        <v>0</v>
      </c>
      <c r="C2" s="144"/>
      <c r="D2" s="144"/>
      <c r="E2" s="144"/>
      <c r="F2" s="102" t="s">
        <v>227</v>
      </c>
      <c r="G2" s="9"/>
      <c r="H2" s="145"/>
      <c r="I2" s="145"/>
      <c r="X2" s="6">
        <f>+X4*X6*X15*X16*X17*X10*X12</f>
        <v>0</v>
      </c>
    </row>
    <row r="3" spans="1:25" ht="22.5" customHeight="1">
      <c r="A3" s="7"/>
      <c r="B3" s="10"/>
      <c r="C3" s="11"/>
      <c r="D3" s="11"/>
      <c r="E3" s="11"/>
      <c r="F3" s="8"/>
      <c r="G3" s="9"/>
      <c r="H3" s="12"/>
      <c r="I3" s="12"/>
      <c r="X3" s="6" t="s">
        <v>1</v>
      </c>
    </row>
    <row r="4" spans="1:25" s="13" customFormat="1" ht="50.25" customHeight="1">
      <c r="C4" s="146" t="s">
        <v>2</v>
      </c>
      <c r="D4" s="146"/>
      <c r="E4" s="14"/>
      <c r="F4" s="15" t="s">
        <v>3</v>
      </c>
      <c r="G4" s="16"/>
      <c r="H4" s="16"/>
      <c r="J4" s="17"/>
      <c r="L4" s="18" t="s">
        <v>4</v>
      </c>
      <c r="X4" s="19">
        <f>IF(E4="",0,1)</f>
        <v>0</v>
      </c>
    </row>
    <row r="5" spans="1:25" s="104" customFormat="1" ht="29.25" customHeight="1">
      <c r="C5" s="150" t="s">
        <v>5</v>
      </c>
      <c r="D5" s="151"/>
      <c r="E5" s="14" t="s">
        <v>250</v>
      </c>
      <c r="F5" s="115"/>
      <c r="G5" s="106"/>
      <c r="H5" s="106"/>
      <c r="J5" s="107"/>
      <c r="L5" s="108"/>
      <c r="X5" s="109"/>
    </row>
    <row r="6" spans="1:25" s="13" customFormat="1" ht="50.1" customHeight="1">
      <c r="C6" s="152"/>
      <c r="D6" s="153"/>
      <c r="E6" s="20"/>
      <c r="F6" s="15" t="s">
        <v>3</v>
      </c>
      <c r="G6" s="16"/>
      <c r="H6" s="16"/>
      <c r="J6" s="17"/>
      <c r="L6" s="18"/>
      <c r="X6" s="19">
        <f>IF(E6="",0,1)</f>
        <v>0</v>
      </c>
    </row>
    <row r="7" spans="1:25" s="13" customFormat="1" ht="39.950000000000003" customHeight="1">
      <c r="C7" s="146" t="s">
        <v>6</v>
      </c>
      <c r="D7" s="146"/>
      <c r="E7" s="14"/>
      <c r="F7" s="15" t="s">
        <v>145</v>
      </c>
      <c r="G7" s="16"/>
      <c r="H7" s="21"/>
      <c r="J7" s="17"/>
      <c r="L7" s="18"/>
      <c r="X7" s="19"/>
    </row>
    <row r="8" spans="1:25" s="13" customFormat="1" ht="39.950000000000003" customHeight="1">
      <c r="C8" s="146" t="s">
        <v>224</v>
      </c>
      <c r="D8" s="146"/>
      <c r="E8" s="20"/>
      <c r="F8" s="15" t="s">
        <v>146</v>
      </c>
      <c r="G8" s="16"/>
      <c r="H8" s="22"/>
      <c r="J8" s="17"/>
      <c r="L8" s="18"/>
      <c r="X8" s="19"/>
    </row>
    <row r="9" spans="1:25" s="13" customFormat="1" ht="39.950000000000003" customHeight="1">
      <c r="C9" s="148" t="s">
        <v>225</v>
      </c>
      <c r="D9" s="149"/>
      <c r="E9" s="20"/>
      <c r="F9" s="15" t="s">
        <v>226</v>
      </c>
      <c r="G9" s="16"/>
      <c r="H9" s="22"/>
      <c r="J9" s="17"/>
      <c r="L9" s="18"/>
      <c r="X9" s="19"/>
    </row>
    <row r="10" spans="1:25" s="13" customFormat="1" ht="39.950000000000003" customHeight="1">
      <c r="C10" s="146" t="s">
        <v>198</v>
      </c>
      <c r="D10" s="146"/>
      <c r="E10" s="20"/>
      <c r="F10" s="15" t="s">
        <v>3</v>
      </c>
      <c r="G10" s="16"/>
      <c r="H10" s="22"/>
      <c r="J10" s="17"/>
      <c r="L10" s="18"/>
      <c r="X10" s="19">
        <f>IF(E10="",0,1)</f>
        <v>0</v>
      </c>
    </row>
    <row r="11" spans="1:25" s="104" customFormat="1" ht="60" customHeight="1">
      <c r="C11" s="148" t="s">
        <v>248</v>
      </c>
      <c r="D11" s="149"/>
      <c r="E11" s="110"/>
      <c r="F11" s="115" t="s">
        <v>249</v>
      </c>
      <c r="G11" s="106"/>
      <c r="H11" s="22"/>
      <c r="J11" s="107"/>
      <c r="L11" s="108"/>
      <c r="X11" s="109"/>
    </row>
    <row r="12" spans="1:25" s="13" customFormat="1" ht="409.5" customHeight="1">
      <c r="A12" s="104"/>
      <c r="B12" s="104"/>
      <c r="C12" s="146" t="s">
        <v>228</v>
      </c>
      <c r="D12" s="146"/>
      <c r="E12" s="110"/>
      <c r="F12" s="105" t="s">
        <v>3</v>
      </c>
      <c r="G12" s="106"/>
      <c r="H12" s="106"/>
      <c r="I12" s="104"/>
      <c r="J12" s="107"/>
      <c r="K12" s="104"/>
      <c r="L12" s="108"/>
      <c r="M12" s="104"/>
      <c r="N12" s="104"/>
      <c r="O12" s="104"/>
      <c r="P12" s="104"/>
      <c r="Q12" s="104"/>
      <c r="R12" s="104"/>
      <c r="S12" s="104"/>
      <c r="T12" s="104"/>
      <c r="U12" s="104"/>
      <c r="V12" s="104"/>
      <c r="W12" s="104"/>
      <c r="X12" s="109">
        <f>IF(E12="",0,1)</f>
        <v>0</v>
      </c>
      <c r="Y12" s="104"/>
    </row>
    <row r="13" spans="1:25" s="13" customFormat="1" ht="22.5" customHeight="1">
      <c r="C13" s="23"/>
      <c r="D13" s="24"/>
      <c r="E13" s="24"/>
      <c r="F13" s="24"/>
      <c r="G13" s="25"/>
      <c r="H13" s="26"/>
      <c r="J13" s="17"/>
      <c r="M13" s="18"/>
      <c r="X13" s="19"/>
    </row>
    <row r="14" spans="1:25" s="13" customFormat="1" ht="16.5" customHeight="1">
      <c r="A14" s="1"/>
      <c r="B14" s="27" t="s">
        <v>7</v>
      </c>
      <c r="C14" s="28"/>
      <c r="D14" s="28"/>
      <c r="E14" s="29"/>
      <c r="F14" s="30"/>
      <c r="G14" s="31"/>
      <c r="H14" s="1"/>
      <c r="I14" s="1"/>
      <c r="J14" s="17"/>
      <c r="L14" s="18" t="s">
        <v>8</v>
      </c>
      <c r="X14" s="19"/>
    </row>
    <row r="15" spans="1:25" ht="50.1" customHeight="1">
      <c r="B15" s="32"/>
      <c r="C15" s="129" t="s">
        <v>9</v>
      </c>
      <c r="D15" s="129"/>
      <c r="E15" s="33"/>
      <c r="F15" s="15" t="s">
        <v>3</v>
      </c>
      <c r="G15" s="34"/>
      <c r="J15" s="140" t="str">
        <f>IF(E15="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15="設置されていた","以前から太陽光発電設備が設置されていた場合は太陽光発電設備・蓄電池の補助は対象外となります。",""))</f>
        <v/>
      </c>
      <c r="K15" s="141"/>
      <c r="L15" s="141"/>
      <c r="M15" s="141"/>
      <c r="N15" s="141"/>
      <c r="O15" s="141"/>
      <c r="P15" s="141"/>
      <c r="Q15" s="141"/>
      <c r="R15" s="141"/>
      <c r="S15" s="141"/>
      <c r="X15" s="19">
        <f>IF(E15="",0,1)</f>
        <v>0</v>
      </c>
    </row>
    <row r="16" spans="1:25" ht="50.1" customHeight="1" thickBot="1">
      <c r="B16" s="32"/>
      <c r="C16" s="129" t="s">
        <v>10</v>
      </c>
      <c r="D16" s="129"/>
      <c r="E16" s="33"/>
      <c r="F16" s="15" t="s">
        <v>3</v>
      </c>
      <c r="G16" s="34"/>
      <c r="H16" s="147" t="s">
        <v>11</v>
      </c>
      <c r="I16" s="147"/>
      <c r="J16" s="5" t="str">
        <f>IF(E16="利用する","FIT・FIP制度を利用する場合は太陽光発電設備・蓄電池の補助は対象外となります。","")</f>
        <v/>
      </c>
      <c r="X16" s="19">
        <f>IF(E16="",0,1)</f>
        <v>0</v>
      </c>
    </row>
    <row r="17" spans="2:24" ht="50.1" customHeight="1" thickBot="1">
      <c r="B17" s="32"/>
      <c r="C17" s="129" t="s">
        <v>12</v>
      </c>
      <c r="D17" s="129"/>
      <c r="E17" s="33"/>
      <c r="F17" s="15" t="s">
        <v>3</v>
      </c>
      <c r="G17" s="34"/>
      <c r="H17" s="35" t="str">
        <f>IF(X2=1,"○","")</f>
        <v/>
      </c>
      <c r="J17" s="140" t="str">
        <f>IF(E17="使用する（今回新たに設置・今回取替）","コージェネレーションシステムを使用する場合は太陽光発電設備・蓄電池の補助は対象外となります。",IF(E17="使用する（従来から設置するものを）","従来から設置するコージェネレーションシステムを引き続き使用する場合は太陽光発電設備・蓄電池・コージェネレーションシステムの補助は対象外となります。",""))</f>
        <v/>
      </c>
      <c r="K17" s="141"/>
      <c r="L17" s="141"/>
      <c r="M17" s="141"/>
      <c r="N17" s="141"/>
      <c r="O17" s="141"/>
      <c r="P17" s="141"/>
      <c r="Q17" s="141"/>
      <c r="R17" s="141"/>
      <c r="X17" s="19">
        <f>IF(E17="",0,1)</f>
        <v>0</v>
      </c>
    </row>
    <row r="18" spans="2:24" ht="16.5" customHeight="1">
      <c r="B18" s="32"/>
      <c r="C18" s="36"/>
      <c r="D18" s="36"/>
      <c r="E18" s="37"/>
      <c r="F18" s="38"/>
      <c r="G18" s="9"/>
      <c r="J18" s="5" t="str">
        <f>IF(X2=0,"上記の記載必須項目が入力されていません。","")</f>
        <v>上記の記載必須項目が入力されていません。</v>
      </c>
    </row>
    <row r="19" spans="2:24" s="13" customFormat="1" ht="12.75" customHeight="1">
      <c r="B19" s="39"/>
      <c r="C19" s="23"/>
      <c r="D19" s="40"/>
      <c r="E19" s="40"/>
      <c r="F19" s="40"/>
      <c r="G19" s="25"/>
      <c r="H19" s="26"/>
      <c r="J19" s="17"/>
      <c r="X19" s="19"/>
    </row>
    <row r="20" spans="2:24" s="13" customFormat="1" ht="12.75" customHeight="1">
      <c r="B20" s="39"/>
      <c r="C20" s="23"/>
      <c r="D20" s="40"/>
      <c r="E20" s="40"/>
      <c r="F20" s="40"/>
      <c r="G20" s="25"/>
      <c r="H20" s="26"/>
      <c r="J20" s="17"/>
      <c r="X20" s="19"/>
    </row>
    <row r="21" spans="2:24" ht="16.5" customHeight="1">
      <c r="B21" s="27" t="s">
        <v>13</v>
      </c>
      <c r="C21" s="28"/>
      <c r="D21" s="28"/>
      <c r="E21" s="29"/>
      <c r="F21" s="30"/>
      <c r="L21" s="18" t="s">
        <v>14</v>
      </c>
    </row>
    <row r="22" spans="2:24" ht="16.5" customHeight="1">
      <c r="C22" s="28" t="s">
        <v>15</v>
      </c>
      <c r="D22" s="28"/>
      <c r="E22" s="29"/>
      <c r="F22" s="30"/>
    </row>
    <row r="23" spans="2:24" ht="50.1" customHeight="1">
      <c r="B23" s="32"/>
      <c r="C23" s="129" t="s">
        <v>16</v>
      </c>
      <c r="D23" s="129"/>
      <c r="E23" s="128"/>
      <c r="F23" s="15"/>
      <c r="G23" s="9" t="s">
        <v>17</v>
      </c>
      <c r="J23" s="5" t="str">
        <f>IF(E28+E29=0,"",IF(E23="","メーカー名・型番を入力してください。",""))</f>
        <v/>
      </c>
      <c r="X23" s="19"/>
    </row>
    <row r="24" spans="2:24" ht="50.1" customHeight="1">
      <c r="B24" s="32"/>
      <c r="C24" s="129" t="s">
        <v>18</v>
      </c>
      <c r="D24" s="129"/>
      <c r="E24" s="128"/>
      <c r="F24" s="15"/>
      <c r="G24" s="9" t="s">
        <v>19</v>
      </c>
      <c r="J24" s="5" t="str">
        <f>IF(E28+E29=0,"",IF(E24="","メーカー名・型番を入力してください。",""))</f>
        <v/>
      </c>
      <c r="X24" s="19"/>
    </row>
    <row r="25" spans="2:24" ht="50.1" customHeight="1">
      <c r="B25" s="32"/>
      <c r="C25" s="129" t="s">
        <v>20</v>
      </c>
      <c r="D25" s="129"/>
      <c r="E25" s="42"/>
      <c r="F25" s="15" t="s">
        <v>21</v>
      </c>
      <c r="G25" s="9" t="s">
        <v>22</v>
      </c>
      <c r="J25" s="5" t="str">
        <f>IF(E28+E29=0,"",IF(E25="","未入力です。入力してください。",IF(E25&gt;5.1,"太陽電池モジュールの公称最大出力の合計値が5.10kWを超える場合は太陽光発電設備の補助は対象外となります。","")))</f>
        <v/>
      </c>
    </row>
    <row r="26" spans="2:24" ht="50.1" customHeight="1">
      <c r="B26" s="32"/>
      <c r="C26" s="129" t="s">
        <v>23</v>
      </c>
      <c r="D26" s="129"/>
      <c r="E26" s="42"/>
      <c r="F26" s="15" t="s">
        <v>21</v>
      </c>
      <c r="G26" s="9" t="s">
        <v>24</v>
      </c>
      <c r="M26" s="43"/>
      <c r="N26" s="43"/>
      <c r="O26" s="43"/>
      <c r="P26" s="43"/>
      <c r="Q26" s="43"/>
      <c r="R26" s="43"/>
      <c r="S26" s="43"/>
      <c r="T26" s="43"/>
    </row>
    <row r="27" spans="2:24" ht="50.1" customHeight="1">
      <c r="B27" s="32"/>
      <c r="C27" s="129" t="s">
        <v>25</v>
      </c>
      <c r="D27" s="129"/>
      <c r="E27" s="44" t="str">
        <f>IF(E25="","",ROUNDDOWN(MIN(E25:E26),0))</f>
        <v/>
      </c>
      <c r="F27" s="15" t="s">
        <v>26</v>
      </c>
      <c r="G27" s="9" t="s">
        <v>27</v>
      </c>
      <c r="J27" s="5" t="str">
        <f>IF(E16="利用する","FIT・FIP制度を利用する場合は太陽光発電設備・蓄電池の補助は対象外となります。","")</f>
        <v/>
      </c>
      <c r="M27" s="43"/>
      <c r="N27" s="43"/>
      <c r="O27" s="43"/>
      <c r="P27" s="43"/>
      <c r="Q27" s="43"/>
      <c r="R27" s="43"/>
      <c r="S27" s="43"/>
      <c r="T27" s="43"/>
    </row>
    <row r="28" spans="2:24" ht="50.1" customHeight="1">
      <c r="B28" s="32"/>
      <c r="C28" s="130" t="s">
        <v>28</v>
      </c>
      <c r="D28" s="131"/>
      <c r="E28" s="45"/>
      <c r="F28" s="15" t="s">
        <v>29</v>
      </c>
      <c r="G28" s="9" t="s">
        <v>30</v>
      </c>
      <c r="M28" s="134" t="s">
        <v>31</v>
      </c>
      <c r="N28" s="134"/>
      <c r="O28" s="134"/>
      <c r="P28" s="134"/>
      <c r="Q28" s="134"/>
      <c r="R28" s="134"/>
      <c r="S28" s="134"/>
      <c r="T28" s="134"/>
    </row>
    <row r="29" spans="2:24" ht="50.1" customHeight="1">
      <c r="B29" s="32"/>
      <c r="C29" s="130" t="s">
        <v>32</v>
      </c>
      <c r="D29" s="131"/>
      <c r="E29" s="45"/>
      <c r="F29" s="15" t="s">
        <v>29</v>
      </c>
      <c r="G29" s="9" t="s">
        <v>33</v>
      </c>
      <c r="M29" s="134"/>
      <c r="N29" s="134"/>
      <c r="O29" s="134"/>
      <c r="P29" s="134"/>
      <c r="Q29" s="134"/>
      <c r="R29" s="134"/>
      <c r="S29" s="134"/>
      <c r="T29" s="134"/>
    </row>
    <row r="30" spans="2:24" ht="50.1" customHeight="1">
      <c r="B30" s="32"/>
      <c r="C30" s="132" t="s">
        <v>197</v>
      </c>
      <c r="D30" s="133"/>
      <c r="E30" s="97">
        <f>+E28+E29</f>
        <v>0</v>
      </c>
      <c r="F30" s="15" t="s">
        <v>174</v>
      </c>
      <c r="G30" s="9" t="s">
        <v>175</v>
      </c>
      <c r="H30" s="91"/>
      <c r="I30" s="91"/>
      <c r="M30" s="94"/>
      <c r="N30" s="94"/>
      <c r="O30" s="94"/>
      <c r="P30" s="94"/>
      <c r="Q30" s="94"/>
      <c r="R30" s="94"/>
      <c r="S30" s="94"/>
      <c r="T30" s="94"/>
    </row>
    <row r="31" spans="2:24" ht="50.1" customHeight="1" thickBot="1">
      <c r="B31" s="32"/>
      <c r="C31" s="132" t="s">
        <v>200</v>
      </c>
      <c r="D31" s="133"/>
      <c r="E31" s="45"/>
      <c r="F31" s="15" t="s">
        <v>179</v>
      </c>
      <c r="G31" s="9" t="s">
        <v>176</v>
      </c>
      <c r="H31" s="135" t="s">
        <v>34</v>
      </c>
      <c r="I31" s="135"/>
      <c r="M31" s="94"/>
      <c r="N31" s="94"/>
      <c r="O31" s="94"/>
      <c r="P31" s="94"/>
      <c r="Q31" s="94"/>
      <c r="R31" s="94"/>
      <c r="S31" s="94"/>
      <c r="T31" s="94"/>
    </row>
    <row r="32" spans="2:24" ht="50.1" customHeight="1" thickBot="1">
      <c r="B32" s="32"/>
      <c r="C32" s="130" t="s">
        <v>35</v>
      </c>
      <c r="D32" s="131"/>
      <c r="E32" s="44">
        <f>IF(E28+E29-E31=0,0,E28+E29-E31)</f>
        <v>0</v>
      </c>
      <c r="F32" s="15" t="s">
        <v>178</v>
      </c>
      <c r="G32" s="9" t="s">
        <v>68</v>
      </c>
      <c r="H32" s="35" t="str">
        <f>IF(E25="","",IF(E16="利用する","",IF(E15="設置されていなかった（今回新たに設置）",IF(E23="","",IF(E24="","",IF(H105="","",IF(E17="使用しない",IF(E25&lt;=5.1,"○",""),"")))),"")))</f>
        <v/>
      </c>
      <c r="I32" s="46"/>
      <c r="J32" s="5" t="str">
        <f>IF(E17="使用する（今回新たに設置・今回取替）","コージェネレーションシステムを使用する場合は太陽光発電設備・蓄電池の補助は対象外となります。",IF(E17="使用する（従来から設置するものを）","コージェネレーションシステムを使用する場合は太陽光発電設備・蓄電池の補助は対象外となります。",""))</f>
        <v/>
      </c>
      <c r="M32" s="43"/>
      <c r="N32" s="43"/>
      <c r="O32" s="43"/>
      <c r="P32" s="43"/>
      <c r="Q32" s="43"/>
      <c r="R32" s="43"/>
      <c r="S32" s="43"/>
      <c r="T32" s="43"/>
    </row>
    <row r="33" spans="2:33" ht="50.1" customHeight="1" thickBot="1">
      <c r="B33" s="32"/>
      <c r="C33" s="138" t="s">
        <v>229</v>
      </c>
      <c r="D33" s="139"/>
      <c r="E33" s="47">
        <f>IF(H32="○",IF(E27="",0,IF(E27*70000&lt;=350000,ROUNDDOWN(MIN(E27*70000,E32),-3),350000)),0)</f>
        <v>0</v>
      </c>
      <c r="F33" s="48" t="s">
        <v>29</v>
      </c>
      <c r="G33" s="9" t="s">
        <v>177</v>
      </c>
      <c r="J33" s="5" t="str">
        <f>IF(E28+E29=0,"",IF(E105="","「３自家消費率」の入力が必要です。",IF(E105="","「３自家消費率」の入力が必要です。","")))</f>
        <v/>
      </c>
      <c r="M33" s="43"/>
      <c r="N33" s="43"/>
      <c r="O33" s="43"/>
      <c r="P33" s="43"/>
      <c r="Q33" s="43"/>
      <c r="R33" s="43"/>
      <c r="S33" s="43"/>
      <c r="T33" s="43"/>
    </row>
    <row r="34" spans="2:33" s="111" customFormat="1" ht="50.1" customHeight="1" thickBot="1">
      <c r="B34" s="117"/>
      <c r="C34" s="138" t="s">
        <v>230</v>
      </c>
      <c r="D34" s="139"/>
      <c r="E34" s="121">
        <f>IF(E33=0,0,IF(E32&lt;(E33+E27*40000),IF(H32="○",IF(E27="",0,IF(E27*40000&lt;=200000,ROUNDDOWN(MIN(E27*40000-(E33+E27*40000-E32),E32-(E33+E27*40000-E32)),-3),200000-(E33+E27*40000-E32))),0),IF(H32="○",IF(E27="",0,IF(E27*40000&lt;=200000,ROUNDDOWN(MIN(E27*40000,E32),-3),200000)),0)))</f>
        <v>0</v>
      </c>
      <c r="F34" s="122" t="s">
        <v>29</v>
      </c>
      <c r="G34" s="114" t="s">
        <v>231</v>
      </c>
      <c r="J34" s="112"/>
      <c r="M34" s="118"/>
      <c r="N34" s="118"/>
      <c r="O34" s="118"/>
      <c r="P34" s="118"/>
      <c r="Q34" s="118"/>
      <c r="R34" s="118"/>
      <c r="S34" s="118"/>
      <c r="T34" s="118"/>
      <c r="X34" s="113"/>
    </row>
    <row r="35" spans="2:33" ht="16.5" customHeight="1">
      <c r="B35" s="32"/>
      <c r="C35" s="36"/>
      <c r="D35" s="36"/>
      <c r="E35" s="49"/>
      <c r="F35" s="38"/>
      <c r="G35" s="9"/>
    </row>
    <row r="36" spans="2:33" ht="16.5" customHeight="1">
      <c r="C36" s="28" t="s">
        <v>37</v>
      </c>
      <c r="D36" s="28"/>
      <c r="E36" s="29"/>
      <c r="F36" s="30"/>
    </row>
    <row r="37" spans="2:33" ht="50.1" customHeight="1">
      <c r="B37" s="32"/>
      <c r="C37" s="129" t="s">
        <v>38</v>
      </c>
      <c r="D37" s="129"/>
      <c r="E37" s="41"/>
      <c r="F37" s="15"/>
      <c r="G37" s="9" t="s">
        <v>39</v>
      </c>
      <c r="J37" s="5" t="str">
        <f>IF(E43+E44=0,"",IF(E37="","メーカー名・型番を入力してください。",""))</f>
        <v/>
      </c>
    </row>
    <row r="38" spans="2:33" ht="50.1" customHeight="1">
      <c r="B38" s="32"/>
      <c r="C38" s="129" t="s">
        <v>40</v>
      </c>
      <c r="D38" s="129"/>
      <c r="E38" s="50"/>
      <c r="F38" s="15" t="s">
        <v>41</v>
      </c>
      <c r="G38" s="9" t="s">
        <v>42</v>
      </c>
      <c r="J38" s="5" t="str">
        <f>IF(E43+E44=0,"",IF(E38="","未入力です。入力してください。",""))</f>
        <v/>
      </c>
    </row>
    <row r="39" spans="2:33" ht="50.1" customHeight="1">
      <c r="B39" s="32"/>
      <c r="C39" s="129" t="s">
        <v>43</v>
      </c>
      <c r="D39" s="129"/>
      <c r="E39" s="51"/>
      <c r="F39" s="52" t="str">
        <f>IF(E38&lt;=10,"",IF(E39="家庭用","大阪南消防組合火災予防条例の規定を遵守すること",IF(E39="業務用","大阪南消防組合火災予防条例の規定を遵守すること","")))</f>
        <v/>
      </c>
      <c r="G39" s="9" t="s">
        <v>44</v>
      </c>
      <c r="J39" s="53"/>
      <c r="K39" s="136" t="s">
        <v>222</v>
      </c>
      <c r="L39" s="137"/>
      <c r="M39" s="137"/>
      <c r="N39" s="54" t="s">
        <v>45</v>
      </c>
    </row>
    <row r="40" spans="2:33" ht="50.1" customHeight="1">
      <c r="B40" s="32"/>
      <c r="C40" s="129" t="s">
        <v>46</v>
      </c>
      <c r="D40" s="129"/>
      <c r="E40" s="50"/>
      <c r="F40" s="15"/>
      <c r="G40" s="1" t="s">
        <v>47</v>
      </c>
      <c r="J40" s="5" t="str">
        <f>IF(E43+E44=0,"",IF(E39="","未選択です。選択してください。",IF(E39="家庭用",IF(E40="","未選択です。選択してください。",IF(E40="機器登録されていない","家庭用蓄電池については機器登録されていない型番は補助対象外です。","")),IF(E39="業務用",IF(E40="","","業務用蓄電池の場合は入力不要です。"),""))))</f>
        <v/>
      </c>
    </row>
    <row r="41" spans="2:33" ht="50.1" customHeight="1">
      <c r="B41" s="32"/>
      <c r="C41" s="129" t="s">
        <v>242</v>
      </c>
      <c r="D41" s="129"/>
      <c r="E41" s="44" t="str">
        <f>IF(E39="","",VLOOKUP(E39,$AF$42:$AG$43,2,))</f>
        <v/>
      </c>
      <c r="F41" s="15" t="s">
        <v>143</v>
      </c>
      <c r="G41" s="1" t="s">
        <v>48</v>
      </c>
      <c r="Y41" s="55" t="s">
        <v>49</v>
      </c>
      <c r="Z41" s="55" t="s">
        <v>50</v>
      </c>
      <c r="AA41" s="55" t="s">
        <v>51</v>
      </c>
    </row>
    <row r="42" spans="2:33" ht="50.1" customHeight="1">
      <c r="B42" s="32"/>
      <c r="C42" s="129" t="s">
        <v>52</v>
      </c>
      <c r="D42" s="129"/>
      <c r="E42" s="44" t="str">
        <f>IF(E38="","",E38*51000)</f>
        <v/>
      </c>
      <c r="F42" s="15" t="s">
        <v>53</v>
      </c>
      <c r="G42" s="9" t="s">
        <v>30</v>
      </c>
      <c r="J42" s="5" t="str">
        <f>IF(E16="利用する","FIT・FIP制度を利用する場合は太陽光発電設備・蓄電池の補助は対象外となります。","")</f>
        <v/>
      </c>
      <c r="Y42" s="55" t="s">
        <v>54</v>
      </c>
      <c r="Z42" s="103">
        <v>2</v>
      </c>
      <c r="AA42" s="103">
        <v>9.6</v>
      </c>
      <c r="AF42" s="55" t="s">
        <v>55</v>
      </c>
      <c r="AG42" s="103">
        <v>125000</v>
      </c>
    </row>
    <row r="43" spans="2:33" ht="50.1" customHeight="1">
      <c r="B43" s="32"/>
      <c r="C43" s="130" t="s">
        <v>56</v>
      </c>
      <c r="D43" s="131"/>
      <c r="E43" s="45"/>
      <c r="F43" s="15" t="s">
        <v>57</v>
      </c>
      <c r="G43" s="9" t="s">
        <v>33</v>
      </c>
      <c r="M43" s="154" t="s">
        <v>58</v>
      </c>
      <c r="N43" s="154"/>
      <c r="O43" s="154"/>
      <c r="P43" s="154"/>
      <c r="Q43" s="154"/>
      <c r="R43" s="154"/>
      <c r="S43" s="154"/>
      <c r="T43" s="154"/>
      <c r="Y43" s="55" t="s">
        <v>59</v>
      </c>
      <c r="Z43" s="103">
        <v>1.2</v>
      </c>
      <c r="AA43" s="103">
        <v>5.76</v>
      </c>
      <c r="AF43" s="55" t="s">
        <v>60</v>
      </c>
      <c r="AG43" s="103">
        <v>119000</v>
      </c>
    </row>
    <row r="44" spans="2:33" ht="50.1" customHeight="1">
      <c r="B44" s="32"/>
      <c r="C44" s="130" t="s">
        <v>61</v>
      </c>
      <c r="D44" s="131"/>
      <c r="E44" s="45"/>
      <c r="F44" s="15" t="s">
        <v>57</v>
      </c>
      <c r="G44" s="9" t="s">
        <v>36</v>
      </c>
      <c r="M44" s="155" t="s">
        <v>62</v>
      </c>
      <c r="N44" s="155"/>
      <c r="O44" s="155"/>
      <c r="P44" s="155"/>
      <c r="Q44" s="155"/>
      <c r="R44" s="155"/>
      <c r="S44" s="155"/>
      <c r="T44" s="155"/>
      <c r="Y44" s="55" t="s">
        <v>63</v>
      </c>
      <c r="Z44" s="103">
        <v>1.2</v>
      </c>
      <c r="AA44" s="103">
        <v>5.76</v>
      </c>
    </row>
    <row r="45" spans="2:33" ht="50.1" customHeight="1">
      <c r="B45" s="32"/>
      <c r="C45" s="132" t="s">
        <v>197</v>
      </c>
      <c r="D45" s="133"/>
      <c r="E45" s="97">
        <f>+E43+E44</f>
        <v>0</v>
      </c>
      <c r="F45" s="15" t="s">
        <v>185</v>
      </c>
      <c r="G45" s="9" t="s">
        <v>180</v>
      </c>
      <c r="M45" s="95"/>
      <c r="N45" s="95"/>
      <c r="O45" s="95"/>
      <c r="P45" s="95"/>
      <c r="Q45" s="95"/>
      <c r="R45" s="95"/>
      <c r="S45" s="95"/>
      <c r="T45" s="95"/>
      <c r="Y45" s="55"/>
      <c r="Z45" s="55"/>
      <c r="AA45" s="55"/>
    </row>
    <row r="46" spans="2:33" ht="50.1" customHeight="1">
      <c r="B46" s="32"/>
      <c r="C46" s="132" t="s">
        <v>200</v>
      </c>
      <c r="D46" s="133"/>
      <c r="E46" s="45"/>
      <c r="F46" s="15" t="s">
        <v>179</v>
      </c>
      <c r="G46" s="9" t="s">
        <v>181</v>
      </c>
      <c r="M46" s="95"/>
      <c r="N46" s="95"/>
      <c r="O46" s="95"/>
      <c r="P46" s="95"/>
      <c r="Q46" s="95"/>
      <c r="R46" s="95"/>
      <c r="S46" s="95"/>
      <c r="T46" s="95"/>
      <c r="Y46" s="55"/>
      <c r="Z46" s="55"/>
      <c r="AA46" s="55"/>
    </row>
    <row r="47" spans="2:33" ht="50.1" customHeight="1">
      <c r="B47" s="32"/>
      <c r="C47" s="156" t="s">
        <v>64</v>
      </c>
      <c r="D47" s="156"/>
      <c r="E47" s="44">
        <f>IF(E43+E44-E46="","",E43+E44-E46)</f>
        <v>0</v>
      </c>
      <c r="F47" s="15" t="s">
        <v>186</v>
      </c>
      <c r="G47" s="9" t="s">
        <v>182</v>
      </c>
      <c r="H47" s="46"/>
      <c r="I47" s="46"/>
      <c r="M47" s="157" t="s">
        <v>65</v>
      </c>
      <c r="N47" s="157"/>
      <c r="O47" s="157"/>
      <c r="P47" s="157"/>
      <c r="Q47" s="157"/>
      <c r="R47" s="157"/>
      <c r="S47" s="157"/>
      <c r="T47" s="157"/>
      <c r="Y47" s="55" t="s">
        <v>66</v>
      </c>
      <c r="Z47" s="103">
        <v>3.7</v>
      </c>
      <c r="AA47" s="103">
        <v>17.760000000000002</v>
      </c>
    </row>
    <row r="48" spans="2:33" ht="50.1" customHeight="1">
      <c r="B48" s="32"/>
      <c r="C48" s="129" t="s">
        <v>67</v>
      </c>
      <c r="D48" s="156"/>
      <c r="E48" s="44">
        <f>IF(E47="","",ROUNDDOWN(E47/3,0))</f>
        <v>0</v>
      </c>
      <c r="F48" s="15" t="s">
        <v>187</v>
      </c>
      <c r="G48" s="9" t="s">
        <v>183</v>
      </c>
      <c r="H48" s="120"/>
      <c r="I48" s="120"/>
      <c r="J48" s="5" t="str">
        <f>IF(E17="使用する（今回新たに設置・今回取替）","コージェネレーションシステムを使用する場合は太陽光発電設備・蓄電池の補助は対象外となります。",IF(E17="使用する（従来から設置するものを）","コージェネレーションシステムを使用する場合は太陽光発電設備・蓄電池の補助は対象外となります。",""))</f>
        <v/>
      </c>
      <c r="M48" s="56"/>
      <c r="N48" s="56"/>
      <c r="O48" s="56"/>
      <c r="P48" s="56"/>
      <c r="Q48" s="56"/>
      <c r="R48" s="56"/>
      <c r="S48" s="56"/>
      <c r="T48" s="56"/>
      <c r="Y48" s="55" t="s">
        <v>70</v>
      </c>
      <c r="Z48" s="103">
        <v>2</v>
      </c>
      <c r="AA48" s="103">
        <v>9.6</v>
      </c>
    </row>
    <row r="49" spans="2:27" s="111" customFormat="1" ht="50.1" customHeight="1" thickBot="1">
      <c r="B49" s="117"/>
      <c r="C49" s="158" t="s">
        <v>71</v>
      </c>
      <c r="D49" s="159"/>
      <c r="E49" s="119" t="str">
        <f>IF(E47="","",IF(E38="","",E47/ROUND(E38,2)))</f>
        <v/>
      </c>
      <c r="F49" s="52" t="s">
        <v>243</v>
      </c>
      <c r="G49" s="114" t="s">
        <v>184</v>
      </c>
      <c r="H49" s="135" t="s">
        <v>69</v>
      </c>
      <c r="I49" s="135"/>
      <c r="J49" s="112"/>
      <c r="M49" s="57"/>
      <c r="N49" s="57"/>
      <c r="O49" s="57"/>
      <c r="P49" s="57"/>
      <c r="Q49" s="57"/>
      <c r="R49" s="57"/>
      <c r="S49" s="57"/>
      <c r="T49" s="57"/>
      <c r="X49" s="113"/>
      <c r="Y49" s="123" t="s">
        <v>72</v>
      </c>
      <c r="Z49" s="103">
        <v>3.2</v>
      </c>
      <c r="AA49" s="103">
        <v>15.36</v>
      </c>
    </row>
    <row r="50" spans="2:27" ht="50.1" customHeight="1" thickBot="1">
      <c r="B50" s="32"/>
      <c r="C50" s="158" t="str">
        <f>IF(E41="","機器の選定等において容量あたりの価格が基準となる金額以下になるように努めたか否か","機器の選定等において容量あたりの価格が"&amp;E41&amp;"円/kWh以下になるように努めたか否か")</f>
        <v>機器の選定等において容量あたりの価格が基準となる金額以下になるように努めたか否か</v>
      </c>
      <c r="D50" s="159"/>
      <c r="E50" s="50"/>
      <c r="F50" s="52" t="str">
        <f>IF(E47="","",IF(E49&gt;E41,"蓄電池1kWあたりの補助対象費用（M）が基準（E）を上回る場合は入力必須です。",""))</f>
        <v/>
      </c>
      <c r="G50" s="9" t="s">
        <v>244</v>
      </c>
      <c r="H50" s="35" t="str">
        <f>IF(E37="","",IF(E39="業務用",IF(H32="○",IF(E49=0,"",IF(E49&lt;=E41,"○",IF(E50="努めた","○",""))),""),IF(E39="家庭用",IF(E40="機器登録されている",IF(H32="○",IF(E49=0,"",IF(E49&lt;=E41,"○",IF(E50="努めた","○",""))),""),""))))</f>
        <v/>
      </c>
      <c r="J50" s="5" t="str">
        <f>IF(E50="努めた","",IF(E47="","",IF(E49&gt;E41,"蓄電池1kWあたりの補助対象費用（M）が基準（E）を上回る場合は入力必須です。","")))</f>
        <v/>
      </c>
      <c r="M50" s="57"/>
      <c r="N50" s="57"/>
      <c r="O50" s="57"/>
      <c r="P50" s="57"/>
      <c r="Q50" s="57"/>
      <c r="R50" s="57"/>
      <c r="S50" s="57"/>
      <c r="T50" s="57"/>
      <c r="Y50" s="55" t="s">
        <v>72</v>
      </c>
      <c r="Z50" s="103">
        <v>3.2</v>
      </c>
      <c r="AA50" s="103">
        <v>15.36</v>
      </c>
    </row>
    <row r="51" spans="2:27" ht="50.1" customHeight="1" thickBot="1">
      <c r="B51" s="32"/>
      <c r="C51" s="160" t="s">
        <v>247</v>
      </c>
      <c r="D51" s="161"/>
      <c r="E51" s="47">
        <f>IF(H50="○",IF(E38="",0,ROUNDDOWN(MIN(E42,E48,750000),-3)),0)</f>
        <v>0</v>
      </c>
      <c r="F51" s="48" t="s">
        <v>246</v>
      </c>
      <c r="G51" s="9" t="s">
        <v>245</v>
      </c>
      <c r="J51" s="5" t="str">
        <f>IF(E39="","",IF(H32="○","","蓄電池の補助については太陽光発電設備の補助との併用が要件です。"))</f>
        <v/>
      </c>
      <c r="M51" s="57"/>
      <c r="N51" s="57"/>
      <c r="O51" s="57"/>
      <c r="P51" s="57"/>
      <c r="Q51" s="57"/>
      <c r="R51" s="57"/>
      <c r="S51" s="57"/>
      <c r="T51" s="57"/>
    </row>
    <row r="52" spans="2:27" ht="16.5" customHeight="1">
      <c r="B52" s="32"/>
      <c r="C52" s="36"/>
      <c r="D52" s="36"/>
      <c r="E52" s="49"/>
      <c r="F52" s="38"/>
      <c r="G52" s="9"/>
    </row>
    <row r="53" spans="2:27" ht="16.5" customHeight="1">
      <c r="C53" s="28" t="s">
        <v>73</v>
      </c>
      <c r="D53" s="28"/>
      <c r="E53" s="29"/>
      <c r="F53" s="30"/>
    </row>
    <row r="54" spans="2:27" ht="50.1" customHeight="1">
      <c r="B54" s="32"/>
      <c r="C54" s="129" t="s">
        <v>74</v>
      </c>
      <c r="D54" s="129"/>
      <c r="E54" s="58"/>
      <c r="F54" s="15"/>
      <c r="G54" s="9" t="s">
        <v>39</v>
      </c>
      <c r="J54" s="5" t="str">
        <f>IF(E57+E58=0,"",IF(E54="","メーカー名・型番を入力してください。",""))</f>
        <v/>
      </c>
      <c r="Y54" s="59"/>
      <c r="Z54" s="59"/>
    </row>
    <row r="55" spans="2:27" ht="50.1" customHeight="1">
      <c r="B55" s="32"/>
      <c r="C55" s="129" t="s">
        <v>75</v>
      </c>
      <c r="D55" s="129"/>
      <c r="E55" s="60"/>
      <c r="F55" s="15" t="s">
        <v>144</v>
      </c>
      <c r="G55" s="9" t="s">
        <v>19</v>
      </c>
      <c r="J55" s="5" t="str">
        <f>IF(E57+E58=0,"",IF(E55="","未選択です。選択してください。",IF(E55="","",IF(E56="",IF(Y57="対象外","新設する機器の種類に補助対象外のものが選択されています。",""),IF(Y58="対象外","今回設置する機器の種類・交換前の機器の種類の組み合わせとして補助対象外のものが選択されています。","")))))</f>
        <v/>
      </c>
      <c r="Y55" s="55" t="e">
        <f>VLOOKUP(E55,$Z$123:$AB$137,2,)</f>
        <v>#N/A</v>
      </c>
      <c r="Z55" s="55" t="e">
        <f>VLOOKUP(E55,$Z$123:$AB$137,3,)</f>
        <v>#N/A</v>
      </c>
    </row>
    <row r="56" spans="2:27" ht="50.1" customHeight="1">
      <c r="B56" s="32"/>
      <c r="C56" s="129" t="s">
        <v>76</v>
      </c>
      <c r="D56" s="129"/>
      <c r="E56" s="60"/>
      <c r="F56" s="15" t="s">
        <v>144</v>
      </c>
      <c r="G56" s="9" t="s">
        <v>22</v>
      </c>
      <c r="J56" s="5" t="str">
        <f>IF(E55="","",IF(E56="",IF(Y57="対象外","",""),IF(Y58="対象外","今回設置する機器の種類・交換前の機器の種類の組み合わせとして補助対象外のものが選択されています。","")))</f>
        <v/>
      </c>
      <c r="Y56" s="55" t="e">
        <f>VLOOKUP(E56,$Z$123:$AB$137,2,)</f>
        <v>#N/A</v>
      </c>
      <c r="Z56" s="55" t="e">
        <f>VLOOKUP(E56,$Z$123:$AB$137,3,)</f>
        <v>#N/A</v>
      </c>
    </row>
    <row r="57" spans="2:27" ht="50.1" customHeight="1">
      <c r="B57" s="32"/>
      <c r="C57" s="130" t="s">
        <v>77</v>
      </c>
      <c r="D57" s="131"/>
      <c r="E57" s="45"/>
      <c r="F57" s="15" t="s">
        <v>29</v>
      </c>
      <c r="G57" s="9" t="s">
        <v>47</v>
      </c>
      <c r="L57" s="136" t="s">
        <v>78</v>
      </c>
      <c r="M57" s="137"/>
      <c r="N57" s="137"/>
      <c r="Y57" s="55" t="e">
        <f>IF(E56="",VLOOKUP(E55,'高効率給湯器（新設）'!$A$3:$B$17,2))</f>
        <v>#N/A</v>
      </c>
      <c r="Z57" s="61"/>
    </row>
    <row r="58" spans="2:27" ht="50.1" customHeight="1">
      <c r="B58" s="32"/>
      <c r="C58" s="130" t="s">
        <v>79</v>
      </c>
      <c r="D58" s="131"/>
      <c r="E58" s="45"/>
      <c r="F58" s="15" t="s">
        <v>29</v>
      </c>
      <c r="G58" s="9" t="s">
        <v>48</v>
      </c>
      <c r="L58" s="136" t="s">
        <v>80</v>
      </c>
      <c r="M58" s="137"/>
      <c r="N58" s="137"/>
      <c r="Y58" s="55" t="e">
        <f>INDEX('高効率給湯器（交換）'!$B$2:$P$16,Y56,Y55)</f>
        <v>#N/A</v>
      </c>
    </row>
    <row r="59" spans="2:27" ht="50.1" customHeight="1">
      <c r="B59" s="32"/>
      <c r="C59" s="132" t="s">
        <v>197</v>
      </c>
      <c r="D59" s="133"/>
      <c r="E59" s="97">
        <f>+E57+E58</f>
        <v>0</v>
      </c>
      <c r="F59" s="15" t="s">
        <v>82</v>
      </c>
      <c r="G59" s="9" t="s">
        <v>188</v>
      </c>
      <c r="H59" s="91"/>
      <c r="I59" s="91"/>
      <c r="L59" s="92"/>
      <c r="M59" s="93"/>
      <c r="N59" s="99"/>
      <c r="Y59" s="98"/>
    </row>
    <row r="60" spans="2:27" ht="50.1" customHeight="1" thickBot="1">
      <c r="B60" s="32"/>
      <c r="C60" s="132" t="s">
        <v>200</v>
      </c>
      <c r="D60" s="133"/>
      <c r="E60" s="45"/>
      <c r="F60" s="15" t="s">
        <v>179</v>
      </c>
      <c r="G60" s="9" t="s">
        <v>189</v>
      </c>
      <c r="H60" s="135" t="s">
        <v>34</v>
      </c>
      <c r="I60" s="135"/>
      <c r="L60" s="92"/>
      <c r="M60" s="93"/>
      <c r="N60" s="99"/>
      <c r="Y60" s="98"/>
    </row>
    <row r="61" spans="2:27" ht="50.1" customHeight="1" thickBot="1">
      <c r="B61" s="32"/>
      <c r="C61" s="130" t="s">
        <v>81</v>
      </c>
      <c r="D61" s="131"/>
      <c r="E61" s="44" t="str">
        <f>IF(H61="○",IF(E57+E58-E60=0,"",E57+E58-E60),"")</f>
        <v/>
      </c>
      <c r="F61" s="15" t="s">
        <v>192</v>
      </c>
      <c r="G61" s="9" t="s">
        <v>190</v>
      </c>
      <c r="H61" s="35" t="str">
        <f>IF(H17="○",IF(E15="設置されていなかった（今回設置しない）","",IF(E54="","",IF(E56="",Y57,INDEX('高効率給湯器（交換）'!$B$2:$P$16,Y56,Y55)))),"")</f>
        <v/>
      </c>
      <c r="I61" s="46"/>
      <c r="M61" s="154" t="s">
        <v>58</v>
      </c>
      <c r="N61" s="154"/>
      <c r="O61" s="154"/>
      <c r="P61" s="154"/>
      <c r="Q61" s="154"/>
      <c r="R61" s="154"/>
      <c r="S61" s="154"/>
      <c r="T61" s="154"/>
    </row>
    <row r="62" spans="2:27" ht="50.1" customHeight="1" thickBot="1">
      <c r="B62" s="32"/>
      <c r="C62" s="138" t="s">
        <v>173</v>
      </c>
      <c r="D62" s="139"/>
      <c r="E62" s="47">
        <f>IF(H61="○",IF(E61="",0,IF(E61*0.5&lt;200000,ROUNDDOWN(E61*0.5,-3),200000)),0)</f>
        <v>0</v>
      </c>
      <c r="F62" s="48" t="s">
        <v>29</v>
      </c>
      <c r="G62" s="9" t="s">
        <v>191</v>
      </c>
      <c r="J62" s="5" t="str">
        <f>IF(E15="設置されていなかった（今回設置しない）","太陽光発電設備が設置されない場合は高効率給湯器は対象外となります。","")</f>
        <v/>
      </c>
    </row>
    <row r="63" spans="2:27" ht="15.75" customHeight="1">
      <c r="B63" s="32"/>
      <c r="C63" s="36"/>
      <c r="D63" s="36"/>
      <c r="E63" s="49"/>
      <c r="F63" s="38"/>
      <c r="G63" s="9"/>
    </row>
    <row r="64" spans="2:27" ht="16.5" customHeight="1">
      <c r="C64" s="62" t="s">
        <v>147</v>
      </c>
      <c r="D64" s="28"/>
      <c r="E64" s="29"/>
      <c r="F64" s="30"/>
    </row>
    <row r="65" spans="2:20" ht="50.1" customHeight="1">
      <c r="B65" s="32"/>
      <c r="C65" s="129" t="s">
        <v>83</v>
      </c>
      <c r="D65" s="129"/>
      <c r="E65" s="41"/>
      <c r="F65" s="15"/>
      <c r="G65" s="9" t="s">
        <v>39</v>
      </c>
      <c r="J65" s="5" t="str">
        <f>IF(E68+E69=0,"",IF(E65="","メーカー名・型番を入力してください。",""))</f>
        <v/>
      </c>
    </row>
    <row r="66" spans="2:20" ht="50.1" customHeight="1">
      <c r="B66" s="32"/>
      <c r="C66" s="129" t="s">
        <v>84</v>
      </c>
      <c r="D66" s="129"/>
      <c r="E66" s="41"/>
      <c r="F66" s="15"/>
      <c r="G66" s="9" t="s">
        <v>42</v>
      </c>
      <c r="J66" s="53"/>
      <c r="K66" s="136" t="s">
        <v>85</v>
      </c>
      <c r="L66" s="137"/>
      <c r="M66" s="137"/>
      <c r="N66" s="137"/>
      <c r="O66" s="54" t="s">
        <v>86</v>
      </c>
    </row>
    <row r="67" spans="2:20" ht="50.1" customHeight="1">
      <c r="B67" s="32"/>
      <c r="C67" s="129" t="s">
        <v>87</v>
      </c>
      <c r="D67" s="129"/>
      <c r="E67" s="50"/>
      <c r="F67" s="15"/>
      <c r="G67" s="9" t="s">
        <v>44</v>
      </c>
      <c r="J67" s="5" t="str">
        <f>IF(E68+E69=0,"",IF(E67="機器登録されていない","機器登録されていない型番は補助対象外です。",IF(E67="","未選択です。選択してください。","")))</f>
        <v/>
      </c>
    </row>
    <row r="68" spans="2:20" ht="50.1" customHeight="1">
      <c r="B68" s="32"/>
      <c r="C68" s="130" t="s">
        <v>88</v>
      </c>
      <c r="D68" s="131"/>
      <c r="E68" s="45"/>
      <c r="F68" s="15" t="s">
        <v>29</v>
      </c>
      <c r="G68" s="9" t="s">
        <v>47</v>
      </c>
      <c r="J68" s="5" t="str">
        <f>IF(E17="使用する（従来から設置するものを）","従来から設置するものを引き続き使用する場合は対象外となります。","")</f>
        <v/>
      </c>
    </row>
    <row r="69" spans="2:20" ht="50.1" customHeight="1">
      <c r="B69" s="32"/>
      <c r="C69" s="130" t="s">
        <v>89</v>
      </c>
      <c r="D69" s="131"/>
      <c r="E69" s="45"/>
      <c r="F69" s="15" t="s">
        <v>29</v>
      </c>
      <c r="G69" s="9" t="s">
        <v>48</v>
      </c>
      <c r="J69" s="5" t="str">
        <f>IF(E15="設置されていなかった（今回設置しない）","太陽光発電設備が設置されない場合はコージェネレーションシステムは対象外となります。","")</f>
        <v/>
      </c>
    </row>
    <row r="70" spans="2:20" ht="50.1" customHeight="1">
      <c r="B70" s="32"/>
      <c r="C70" s="132" t="s">
        <v>197</v>
      </c>
      <c r="D70" s="133"/>
      <c r="E70" s="97">
        <f>+E68+E69</f>
        <v>0</v>
      </c>
      <c r="F70" s="15" t="s">
        <v>179</v>
      </c>
      <c r="G70" s="9" t="s">
        <v>193</v>
      </c>
      <c r="H70" s="91"/>
      <c r="I70" s="91"/>
    </row>
    <row r="71" spans="2:20" ht="50.1" customHeight="1" thickBot="1">
      <c r="B71" s="32"/>
      <c r="C71" s="132" t="s">
        <v>200</v>
      </c>
      <c r="D71" s="133"/>
      <c r="E71" s="45"/>
      <c r="F71" s="15" t="s">
        <v>179</v>
      </c>
      <c r="G71" s="9" t="s">
        <v>194</v>
      </c>
      <c r="H71" s="135" t="s">
        <v>34</v>
      </c>
      <c r="I71" s="135"/>
    </row>
    <row r="72" spans="2:20" ht="50.1" customHeight="1" thickBot="1">
      <c r="B72" s="32"/>
      <c r="C72" s="158" t="s">
        <v>90</v>
      </c>
      <c r="D72" s="159"/>
      <c r="E72" s="44" t="str">
        <f>IF(H72="○",IF(E68+E69-E71=0,"",E68+E69-E71),"")</f>
        <v/>
      </c>
      <c r="F72" s="15" t="s">
        <v>192</v>
      </c>
      <c r="G72" s="9" t="s">
        <v>190</v>
      </c>
      <c r="H72" s="35" t="str">
        <f>IF(H17="○",IF(E17="使用する（従来から設置するものを）","",IF(E15="設置されていなかった（今回設置しない）","",IF(E17="使用しない","",IF(E65="","",IF(E67="機器登録されている","○",""))))),"")</f>
        <v/>
      </c>
      <c r="I72" s="46"/>
      <c r="J72" s="5" t="str">
        <f>IF(E68+E69=0,"",IF(E17="使用しない","「１」でコージェネについて「使用しない」を選択している。",""))</f>
        <v/>
      </c>
      <c r="M72" s="56"/>
      <c r="N72" s="56"/>
      <c r="O72" s="56"/>
      <c r="P72" s="56"/>
      <c r="Q72" s="56"/>
      <c r="R72" s="56"/>
      <c r="S72" s="56"/>
      <c r="T72" s="56"/>
    </row>
    <row r="73" spans="2:20" ht="50.1" customHeight="1" thickBot="1">
      <c r="B73" s="32"/>
      <c r="C73" s="138" t="s">
        <v>91</v>
      </c>
      <c r="D73" s="139"/>
      <c r="E73" s="47">
        <f>IF(H72="○",IF(E72="",0,IF(E72*0.5&lt;500000,ROUNDDOWN(E72*0.5,-3),500000)),0)</f>
        <v>0</v>
      </c>
      <c r="F73" s="48" t="s">
        <v>29</v>
      </c>
      <c r="G73" s="9" t="s">
        <v>195</v>
      </c>
      <c r="M73" s="154" t="s">
        <v>58</v>
      </c>
      <c r="N73" s="154"/>
      <c r="O73" s="154"/>
      <c r="P73" s="154"/>
      <c r="Q73" s="154"/>
      <c r="R73" s="154"/>
      <c r="S73" s="154"/>
      <c r="T73" s="154"/>
    </row>
    <row r="74" spans="2:20" ht="15.75" customHeight="1">
      <c r="B74" s="32"/>
      <c r="C74" s="36"/>
      <c r="D74" s="36"/>
      <c r="E74" s="49"/>
      <c r="F74" s="38"/>
      <c r="G74" s="9"/>
    </row>
    <row r="75" spans="2:20" ht="16.5" customHeight="1">
      <c r="C75" s="62" t="s">
        <v>148</v>
      </c>
      <c r="D75" s="28"/>
      <c r="E75" s="29"/>
      <c r="F75" s="30"/>
    </row>
    <row r="76" spans="2:20" ht="50.1" customHeight="1">
      <c r="B76" s="32"/>
      <c r="C76" s="129" t="s">
        <v>150</v>
      </c>
      <c r="D76" s="129"/>
      <c r="E76" s="96"/>
      <c r="F76" s="15"/>
      <c r="G76" s="9" t="s">
        <v>39</v>
      </c>
      <c r="J76" s="5" t="str">
        <f>IF($E$84=0,"",IF(E76="","ブランド（メーカー）を入力してください。",""))</f>
        <v/>
      </c>
      <c r="K76" s="89"/>
      <c r="O76" s="54"/>
    </row>
    <row r="77" spans="2:20" ht="50.1" customHeight="1">
      <c r="B77" s="32"/>
      <c r="C77" s="129" t="s">
        <v>151</v>
      </c>
      <c r="D77" s="129"/>
      <c r="E77" s="96"/>
      <c r="F77" s="15"/>
      <c r="G77" s="9" t="s">
        <v>159</v>
      </c>
      <c r="J77" s="5" t="str">
        <f>IF($E$84=0,"",IF(E77="","車名を入力してください。",""))</f>
        <v/>
      </c>
    </row>
    <row r="78" spans="2:20" ht="50.1" customHeight="1">
      <c r="B78" s="32"/>
      <c r="C78" s="129" t="s">
        <v>152</v>
      </c>
      <c r="D78" s="129"/>
      <c r="E78" s="96"/>
      <c r="F78" s="15"/>
      <c r="G78" s="9" t="s">
        <v>160</v>
      </c>
      <c r="J78" s="5" t="str">
        <f>IF($E$84=0,"",IF(E78="","グレードを入力してください。",""))</f>
        <v/>
      </c>
    </row>
    <row r="79" spans="2:20" ht="50.1" customHeight="1">
      <c r="B79" s="32"/>
      <c r="C79" s="129" t="s">
        <v>212</v>
      </c>
      <c r="D79" s="129"/>
      <c r="E79" s="90"/>
      <c r="F79" s="101" t="s">
        <v>223</v>
      </c>
      <c r="G79" s="9" t="s">
        <v>161</v>
      </c>
      <c r="J79" s="5" t="str">
        <f>IF($E$84=0,"",IF(E79="","CEV補助金の「銘柄ごとの補助金交付額」を入力してください。",""))</f>
        <v/>
      </c>
      <c r="M79" s="89" t="s">
        <v>153</v>
      </c>
      <c r="P79" s="54" t="s">
        <v>154</v>
      </c>
    </row>
    <row r="80" spans="2:20" ht="50.1" customHeight="1">
      <c r="B80" s="32"/>
      <c r="C80" s="129" t="s">
        <v>201</v>
      </c>
      <c r="D80" s="129"/>
      <c r="E80" s="100"/>
      <c r="F80" s="15"/>
      <c r="G80" s="9" t="s">
        <v>27</v>
      </c>
      <c r="J80" s="5" t="str">
        <f>IF($E$84=0,"",IF(E80="","プルダウンから選択してください。",IF(E80="電気自動車","","補助対象外です。")))</f>
        <v/>
      </c>
      <c r="M80" s="89" t="s">
        <v>153</v>
      </c>
      <c r="P80" s="54" t="s">
        <v>154</v>
      </c>
    </row>
    <row r="81" spans="2:20" ht="50.1" customHeight="1">
      <c r="B81" s="32"/>
      <c r="C81" s="129" t="s">
        <v>219</v>
      </c>
      <c r="D81" s="129"/>
      <c r="E81" s="100"/>
      <c r="F81" s="15"/>
      <c r="G81" s="9" t="s">
        <v>202</v>
      </c>
      <c r="J81" s="5" t="str">
        <f>IF(E81="不可","補助対象外です。",IF($E$84=0,"",IF(E81="","プルダウンから選択してください。","")))</f>
        <v/>
      </c>
      <c r="M81" s="89" t="s">
        <v>153</v>
      </c>
      <c r="P81" s="54" t="s">
        <v>154</v>
      </c>
    </row>
    <row r="82" spans="2:20" ht="50.1" customHeight="1">
      <c r="B82" s="32"/>
      <c r="C82" s="129" t="s">
        <v>199</v>
      </c>
      <c r="D82" s="129"/>
      <c r="E82" s="100"/>
      <c r="F82" s="15" t="s">
        <v>155</v>
      </c>
      <c r="G82" s="9" t="s">
        <v>203</v>
      </c>
      <c r="J82" s="5" t="str">
        <f>IF($E$84=0,"",IF(E82="","電池容量を入力してください。",""))</f>
        <v/>
      </c>
      <c r="K82" s="163"/>
      <c r="L82" s="164"/>
      <c r="M82" s="164"/>
      <c r="N82" s="164"/>
      <c r="O82" s="54"/>
    </row>
    <row r="83" spans="2:20" ht="50.1" customHeight="1">
      <c r="B83" s="32"/>
      <c r="C83" s="129" t="s">
        <v>157</v>
      </c>
      <c r="D83" s="129"/>
      <c r="E83" s="97" t="str">
        <f>IF(E76="","",E82*0.5*40000)</f>
        <v/>
      </c>
      <c r="F83" s="15" t="s">
        <v>179</v>
      </c>
      <c r="G83" s="9" t="s">
        <v>204</v>
      </c>
    </row>
    <row r="84" spans="2:20" ht="50.1" customHeight="1">
      <c r="B84" s="32"/>
      <c r="C84" s="130" t="s">
        <v>156</v>
      </c>
      <c r="D84" s="131"/>
      <c r="E84" s="45"/>
      <c r="F84" s="15" t="s">
        <v>29</v>
      </c>
      <c r="G84" s="9" t="s">
        <v>205</v>
      </c>
      <c r="J84" s="5" t="str">
        <f>IF($E$84=0,"",IF(E84="","購入費を入力してください。",""))</f>
        <v/>
      </c>
    </row>
    <row r="85" spans="2:20" ht="50.1" customHeight="1">
      <c r="B85" s="32"/>
      <c r="C85" s="132" t="s">
        <v>197</v>
      </c>
      <c r="D85" s="133"/>
      <c r="E85" s="97">
        <f>+E84</f>
        <v>0</v>
      </c>
      <c r="F85" s="15" t="s">
        <v>210</v>
      </c>
      <c r="G85" s="9" t="s">
        <v>206</v>
      </c>
      <c r="H85" s="91"/>
      <c r="I85" s="91"/>
    </row>
    <row r="86" spans="2:20" ht="50.1" customHeight="1" thickBot="1">
      <c r="B86" s="32"/>
      <c r="C86" s="132" t="s">
        <v>200</v>
      </c>
      <c r="D86" s="133"/>
      <c r="E86" s="45"/>
      <c r="F86" s="15" t="s">
        <v>179</v>
      </c>
      <c r="G86" s="9" t="s">
        <v>207</v>
      </c>
      <c r="H86" s="135" t="s">
        <v>34</v>
      </c>
      <c r="I86" s="135"/>
    </row>
    <row r="87" spans="2:20" ht="50.1" customHeight="1" thickBot="1">
      <c r="B87" s="32"/>
      <c r="C87" s="130" t="s">
        <v>158</v>
      </c>
      <c r="D87" s="131"/>
      <c r="E87" s="44" t="str">
        <f>IF(H87="○",E84-E86,"")</f>
        <v/>
      </c>
      <c r="F87" s="15" t="s">
        <v>211</v>
      </c>
      <c r="G87" s="9" t="s">
        <v>208</v>
      </c>
      <c r="H87" s="35" t="str">
        <f>IF(E79="","",IF(E81="","",IF(E81="不可","",IF(H32="○",IF(E76="","",IF(E80="電気自動車","○","")),""))))</f>
        <v/>
      </c>
      <c r="I87" s="85"/>
      <c r="J87" s="5" t="str">
        <f>IF(E80="","",IF(H32="○","","電気自動車の補助については太陽光発電設備の補助との併用が要件です。"))</f>
        <v/>
      </c>
      <c r="M87" s="86"/>
      <c r="N87" s="86"/>
      <c r="O87" s="86"/>
      <c r="P87" s="86"/>
      <c r="Q87" s="86"/>
      <c r="R87" s="86"/>
      <c r="S87" s="86"/>
      <c r="T87" s="86"/>
    </row>
    <row r="88" spans="2:20" ht="50.1" customHeight="1" thickBot="1">
      <c r="B88" s="32"/>
      <c r="C88" s="138" t="s">
        <v>162</v>
      </c>
      <c r="D88" s="139"/>
      <c r="E88" s="47">
        <f>IF(H87="○",IF(E87="",0,MIN(ROUNDDOWN(E82*0.5*40000,-3),850000,E79*1000)),0)</f>
        <v>0</v>
      </c>
      <c r="F88" s="48" t="s">
        <v>29</v>
      </c>
      <c r="G88" s="9" t="s">
        <v>209</v>
      </c>
      <c r="M88" s="154" t="s">
        <v>58</v>
      </c>
      <c r="N88" s="154"/>
      <c r="O88" s="154"/>
      <c r="P88" s="154"/>
      <c r="Q88" s="154"/>
      <c r="R88" s="154"/>
      <c r="S88" s="154"/>
      <c r="T88" s="154"/>
    </row>
    <row r="89" spans="2:20" ht="15.75" customHeight="1">
      <c r="B89" s="32"/>
      <c r="C89" s="36"/>
      <c r="D89" s="36"/>
      <c r="E89" s="49"/>
      <c r="F89" s="38"/>
      <c r="G89" s="9"/>
    </row>
    <row r="90" spans="2:20" ht="16.5" customHeight="1">
      <c r="C90" s="62" t="s">
        <v>149</v>
      </c>
      <c r="D90" s="28"/>
      <c r="E90" s="29"/>
      <c r="F90" s="30"/>
    </row>
    <row r="91" spans="2:20" ht="50.1" customHeight="1">
      <c r="B91" s="32"/>
      <c r="C91" s="129" t="s">
        <v>165</v>
      </c>
      <c r="D91" s="129"/>
      <c r="E91" s="96"/>
      <c r="F91" s="15"/>
      <c r="G91" s="9" t="s">
        <v>39</v>
      </c>
      <c r="J91" s="5" t="str">
        <f>IF($E$96+$E$97=0,"",IF(E91="",C91&amp;"を入力してください。",""))</f>
        <v/>
      </c>
      <c r="K91" s="89"/>
      <c r="O91" s="54"/>
    </row>
    <row r="92" spans="2:20" ht="50.1" customHeight="1">
      <c r="B92" s="32"/>
      <c r="C92" s="129" t="s">
        <v>166</v>
      </c>
      <c r="D92" s="129"/>
      <c r="E92" s="96"/>
      <c r="F92" s="15"/>
      <c r="G92" s="9" t="s">
        <v>159</v>
      </c>
      <c r="J92" s="5" t="str">
        <f t="shared" ref="J92:J97" si="0">IF($E$96+$E$97=0,"",IF(E92="",C92&amp;"を入力してください。",""))</f>
        <v/>
      </c>
    </row>
    <row r="93" spans="2:20" ht="50.1" customHeight="1">
      <c r="B93" s="32"/>
      <c r="C93" s="129" t="s">
        <v>167</v>
      </c>
      <c r="D93" s="129"/>
      <c r="E93" s="96"/>
      <c r="F93" s="15" t="s">
        <v>221</v>
      </c>
      <c r="G93" s="9" t="s">
        <v>160</v>
      </c>
      <c r="J93" s="5" t="str">
        <f t="shared" si="0"/>
        <v/>
      </c>
    </row>
    <row r="94" spans="2:20" ht="50.1" customHeight="1">
      <c r="B94" s="32"/>
      <c r="C94" s="129" t="s">
        <v>213</v>
      </c>
      <c r="D94" s="129"/>
      <c r="E94" s="100"/>
      <c r="F94" s="15"/>
      <c r="G94" s="9" t="s">
        <v>24</v>
      </c>
      <c r="J94" s="5" t="str">
        <f>IF($E$96+$E$97=0,"",IF(E94="","プルダウンから選択してください。",IF(E94="V2H充放電設備","","補助対象外です。")))</f>
        <v/>
      </c>
      <c r="M94" s="89" t="s">
        <v>153</v>
      </c>
      <c r="P94" s="54" t="s">
        <v>154</v>
      </c>
    </row>
    <row r="95" spans="2:20" ht="50.1" customHeight="1">
      <c r="B95" s="32"/>
      <c r="C95" s="129" t="s">
        <v>214</v>
      </c>
      <c r="D95" s="129"/>
      <c r="E95" s="90"/>
      <c r="F95" s="101" t="s">
        <v>220</v>
      </c>
      <c r="G95" s="9" t="s">
        <v>215</v>
      </c>
      <c r="J95" s="167" t="str">
        <f t="shared" si="0"/>
        <v/>
      </c>
      <c r="K95" s="167"/>
      <c r="L95" s="167"/>
      <c r="M95" s="89" t="s">
        <v>153</v>
      </c>
      <c r="P95" s="54" t="s">
        <v>154</v>
      </c>
    </row>
    <row r="96" spans="2:20" ht="50.1" customHeight="1">
      <c r="B96" s="32"/>
      <c r="C96" s="130" t="s">
        <v>168</v>
      </c>
      <c r="D96" s="131"/>
      <c r="E96" s="45"/>
      <c r="F96" s="15" t="s">
        <v>29</v>
      </c>
      <c r="G96" s="9" t="s">
        <v>216</v>
      </c>
      <c r="J96" s="5" t="str">
        <f t="shared" si="0"/>
        <v/>
      </c>
    </row>
    <row r="97" spans="2:24" ht="50.1" customHeight="1">
      <c r="B97" s="32"/>
      <c r="C97" s="130" t="s">
        <v>169</v>
      </c>
      <c r="D97" s="131"/>
      <c r="E97" s="45"/>
      <c r="F97" s="15" t="s">
        <v>29</v>
      </c>
      <c r="G97" s="9" t="s">
        <v>203</v>
      </c>
      <c r="J97" s="5" t="str">
        <f t="shared" si="0"/>
        <v/>
      </c>
    </row>
    <row r="98" spans="2:24" ht="50.1" customHeight="1">
      <c r="B98" s="32"/>
      <c r="C98" s="132" t="s">
        <v>197</v>
      </c>
      <c r="D98" s="133"/>
      <c r="E98" s="97">
        <f>+E96+E97</f>
        <v>0</v>
      </c>
      <c r="F98" s="15" t="s">
        <v>196</v>
      </c>
      <c r="G98" s="9" t="s">
        <v>204</v>
      </c>
      <c r="H98" s="91"/>
      <c r="I98" s="91"/>
    </row>
    <row r="99" spans="2:24" ht="50.1" customHeight="1" thickBot="1">
      <c r="B99" s="32"/>
      <c r="C99" s="132" t="s">
        <v>200</v>
      </c>
      <c r="D99" s="133"/>
      <c r="E99" s="45"/>
      <c r="F99" s="15" t="s">
        <v>179</v>
      </c>
      <c r="G99" s="9" t="s">
        <v>205</v>
      </c>
      <c r="H99" s="135" t="s">
        <v>170</v>
      </c>
      <c r="I99" s="135"/>
    </row>
    <row r="100" spans="2:24" ht="50.1" customHeight="1" thickBot="1">
      <c r="B100" s="32"/>
      <c r="C100" s="130" t="s">
        <v>171</v>
      </c>
      <c r="D100" s="131"/>
      <c r="E100" s="44" t="str">
        <f>IF(H100="○",E96+E97-E99,"")</f>
        <v/>
      </c>
      <c r="F100" s="15" t="s">
        <v>218</v>
      </c>
      <c r="G100" s="9" t="s">
        <v>206</v>
      </c>
      <c r="H100" s="35" t="str">
        <f>IF(E95="","",IF(H87="○",IF(H32="○",IF(E91="","",IF(E94="V2H充放電設備","○","")),""),""))</f>
        <v/>
      </c>
      <c r="I100" s="88"/>
      <c r="J100" s="5" t="str">
        <f>IF(E94="","",IF(H32="○","","充放電設備の補助については太陽光発電設備及び電気自動車の補助との併用が要件です。"))</f>
        <v/>
      </c>
      <c r="M100" s="87"/>
      <c r="N100" s="87"/>
      <c r="O100" s="87"/>
      <c r="P100" s="87"/>
      <c r="Q100" s="87"/>
      <c r="R100" s="87"/>
      <c r="S100" s="87"/>
      <c r="T100" s="87"/>
    </row>
    <row r="101" spans="2:24" ht="50.1" customHeight="1" thickBot="1">
      <c r="B101" s="32"/>
      <c r="C101" s="138" t="s">
        <v>172</v>
      </c>
      <c r="D101" s="139"/>
      <c r="E101" s="47">
        <f>IF(H100="○",IF(E100="",0,MIN(ROUNDDOWN(E100*0.5,-3),1500000)),0)</f>
        <v>0</v>
      </c>
      <c r="F101" s="48" t="s">
        <v>29</v>
      </c>
      <c r="G101" s="9" t="s">
        <v>217</v>
      </c>
      <c r="M101" s="154" t="s">
        <v>58</v>
      </c>
      <c r="N101" s="154"/>
      <c r="O101" s="154"/>
      <c r="P101" s="154"/>
      <c r="Q101" s="154"/>
      <c r="R101" s="154"/>
      <c r="S101" s="154"/>
      <c r="T101" s="154"/>
    </row>
    <row r="102" spans="2:24" ht="15.75" customHeight="1">
      <c r="B102" s="32"/>
      <c r="C102" s="36"/>
      <c r="D102" s="36"/>
      <c r="E102" s="49"/>
      <c r="F102" s="38"/>
      <c r="G102" s="9"/>
    </row>
    <row r="103" spans="2:24" ht="15.75" customHeight="1">
      <c r="B103" s="32"/>
      <c r="C103" s="36"/>
      <c r="D103" s="36"/>
      <c r="E103" s="49"/>
      <c r="F103" s="38"/>
      <c r="G103" s="9"/>
    </row>
    <row r="104" spans="2:24" ht="16.5" customHeight="1" thickBot="1">
      <c r="B104" s="63" t="s">
        <v>92</v>
      </c>
      <c r="C104" s="1"/>
      <c r="D104" s="64"/>
      <c r="E104" s="65"/>
      <c r="F104" s="66"/>
      <c r="G104" s="9"/>
      <c r="H104" s="21" t="s">
        <v>94</v>
      </c>
      <c r="I104" s="67"/>
      <c r="O104" s="56"/>
      <c r="P104" s="56"/>
      <c r="Q104" s="56"/>
      <c r="R104" s="56"/>
      <c r="S104" s="56"/>
      <c r="T104" s="56"/>
    </row>
    <row r="105" spans="2:24" ht="50.1" customHeight="1" thickBot="1">
      <c r="B105" s="32"/>
      <c r="C105" s="160" t="s">
        <v>97</v>
      </c>
      <c r="D105" s="161"/>
      <c r="E105" s="127"/>
      <c r="F105" s="122"/>
      <c r="G105" s="114" t="s">
        <v>93</v>
      </c>
      <c r="H105" s="35" t="str">
        <f>IF(E105="","",IF(E105="３０％以上となる見込み","○",""))</f>
        <v/>
      </c>
      <c r="J105" s="5" t="str">
        <f>IF(E105="３０％以上となる見込み","","自家消費率が３０％以上となり、それが法定耐用年数（１７年）が経過するまでの期間維持されると見込まれることが太陽光発電設備の補助の要件です。")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5" s="68"/>
      <c r="N105" s="68"/>
      <c r="O105" s="68"/>
      <c r="P105" s="68"/>
      <c r="Q105" s="68"/>
      <c r="R105" s="68"/>
      <c r="S105" s="68"/>
      <c r="T105" s="68"/>
    </row>
    <row r="107" spans="2:24" ht="16.5" customHeight="1">
      <c r="B107" s="69" t="s">
        <v>99</v>
      </c>
      <c r="C107" s="1"/>
      <c r="D107" s="69"/>
      <c r="E107" s="29"/>
      <c r="F107" s="30"/>
    </row>
    <row r="108" spans="2:24" ht="49.5" customHeight="1">
      <c r="C108" s="129" t="s">
        <v>232</v>
      </c>
      <c r="D108" s="129"/>
      <c r="E108" s="70">
        <f>+E33</f>
        <v>0</v>
      </c>
      <c r="F108" s="15" t="s">
        <v>57</v>
      </c>
      <c r="G108" s="31" t="s">
        <v>39</v>
      </c>
    </row>
    <row r="109" spans="2:24" s="111" customFormat="1" ht="49.5" customHeight="1">
      <c r="C109" s="129" t="s">
        <v>237</v>
      </c>
      <c r="D109" s="129"/>
      <c r="E109" s="124">
        <f>+E34</f>
        <v>0</v>
      </c>
      <c r="F109" s="115" t="s">
        <v>57</v>
      </c>
      <c r="G109" s="116" t="s">
        <v>95</v>
      </c>
      <c r="J109" s="112"/>
      <c r="X109" s="113"/>
    </row>
    <row r="110" spans="2:24" ht="49.5" customHeight="1">
      <c r="C110" s="129" t="s">
        <v>100</v>
      </c>
      <c r="D110" s="129"/>
      <c r="E110" s="70">
        <f>+E51</f>
        <v>0</v>
      </c>
      <c r="F110" s="15" t="s">
        <v>57</v>
      </c>
      <c r="G110" s="31" t="s">
        <v>96</v>
      </c>
    </row>
    <row r="111" spans="2:24" ht="49.5" customHeight="1">
      <c r="C111" s="129" t="s">
        <v>101</v>
      </c>
      <c r="D111" s="129"/>
      <c r="E111" s="70">
        <f>+E62</f>
        <v>0</v>
      </c>
      <c r="F111" s="15" t="s">
        <v>57</v>
      </c>
      <c r="G111" s="31" t="s">
        <v>98</v>
      </c>
    </row>
    <row r="112" spans="2:24" ht="49.5" customHeight="1">
      <c r="C112" s="162" t="s">
        <v>102</v>
      </c>
      <c r="D112" s="162"/>
      <c r="E112" s="71">
        <f>+E73</f>
        <v>0</v>
      </c>
      <c r="F112" s="72" t="s">
        <v>57</v>
      </c>
      <c r="G112" s="31" t="s">
        <v>215</v>
      </c>
    </row>
    <row r="113" spans="3:28" ht="49.5" customHeight="1">
      <c r="C113" s="162" t="s">
        <v>163</v>
      </c>
      <c r="D113" s="162"/>
      <c r="E113" s="71">
        <f>E88</f>
        <v>0</v>
      </c>
      <c r="F113" s="72" t="s">
        <v>57</v>
      </c>
      <c r="G113" s="31" t="s">
        <v>216</v>
      </c>
    </row>
    <row r="114" spans="3:28" ht="49.5" customHeight="1" thickBot="1">
      <c r="C114" s="162" t="s">
        <v>164</v>
      </c>
      <c r="D114" s="162"/>
      <c r="E114" s="71">
        <f>E101</f>
        <v>0</v>
      </c>
      <c r="F114" s="72" t="s">
        <v>57</v>
      </c>
      <c r="G114" s="31" t="s">
        <v>203</v>
      </c>
    </row>
    <row r="115" spans="3:28" s="111" customFormat="1" ht="49.5" customHeight="1" thickBot="1">
      <c r="C115" s="165" t="s">
        <v>103</v>
      </c>
      <c r="D115" s="166"/>
      <c r="E115" s="125">
        <f>SUM(E108:E114)</f>
        <v>0</v>
      </c>
      <c r="F115" s="122" t="s">
        <v>238</v>
      </c>
      <c r="G115" s="116" t="s">
        <v>233</v>
      </c>
      <c r="W115" s="113"/>
    </row>
    <row r="116" spans="3:28" ht="49.5" customHeight="1" thickBot="1">
      <c r="C116" s="165" t="s">
        <v>239</v>
      </c>
      <c r="D116" s="166"/>
      <c r="E116" s="73">
        <f>+E108+E110+E111+E112+E113+E114</f>
        <v>0</v>
      </c>
      <c r="F116" s="48" t="s">
        <v>235</v>
      </c>
      <c r="G116" s="31" t="s">
        <v>234</v>
      </c>
      <c r="J116" s="1"/>
      <c r="W116" s="6"/>
      <c r="X116" s="1"/>
    </row>
    <row r="117" spans="3:28" s="111" customFormat="1" ht="49.5" customHeight="1" thickBot="1">
      <c r="C117" s="165" t="s">
        <v>240</v>
      </c>
      <c r="D117" s="166"/>
      <c r="E117" s="125">
        <f>+E109</f>
        <v>0</v>
      </c>
      <c r="F117" s="122" t="s">
        <v>236</v>
      </c>
      <c r="G117" s="116" t="s">
        <v>241</v>
      </c>
      <c r="J117" s="126"/>
      <c r="X117" s="113"/>
    </row>
    <row r="123" spans="3:28">
      <c r="Z123" s="55" t="str">
        <f>AA123&amp;AB123</f>
        <v>1ガス従来型給湯機</v>
      </c>
      <c r="AA123" s="55">
        <v>1</v>
      </c>
      <c r="AB123" s="55" t="s">
        <v>104</v>
      </c>
    </row>
    <row r="124" spans="3:28">
      <c r="Z124" s="55" t="str">
        <f t="shared" ref="Z124:Z137" si="1">AA124&amp;AB124</f>
        <v>2ガス潜熱回収型給湯機（エコジョーズ）</v>
      </c>
      <c r="AA124" s="55">
        <v>2</v>
      </c>
      <c r="AB124" s="55" t="s">
        <v>105</v>
      </c>
    </row>
    <row r="125" spans="3:28">
      <c r="Z125" s="55" t="str">
        <f t="shared" si="1"/>
        <v>3石油従来型給湯機</v>
      </c>
      <c r="AA125" s="55">
        <v>3</v>
      </c>
      <c r="AB125" s="55" t="s">
        <v>106</v>
      </c>
    </row>
    <row r="126" spans="3:28">
      <c r="Z126" s="55" t="str">
        <f t="shared" si="1"/>
        <v>4石油潜熱回収型給湯機</v>
      </c>
      <c r="AA126" s="55">
        <v>4</v>
      </c>
      <c r="AB126" s="55" t="s">
        <v>107</v>
      </c>
    </row>
    <row r="127" spans="3:28">
      <c r="Z127" s="55" t="str">
        <f t="shared" si="1"/>
        <v>5電気ヒーター給湯機</v>
      </c>
      <c r="AA127" s="55">
        <v>5</v>
      </c>
      <c r="AB127" s="55" t="s">
        <v>108</v>
      </c>
    </row>
    <row r="128" spans="3:28">
      <c r="Z128" s="55" t="str">
        <f t="shared" si="1"/>
        <v>6電気ヒートポンプ給湯機（CO2冷媒）（太陽熱利用設備を使用しないもの）（エコキュート）</v>
      </c>
      <c r="AA128" s="55">
        <v>6</v>
      </c>
      <c r="AB128" s="55" t="s">
        <v>109</v>
      </c>
    </row>
    <row r="129" spans="26:28">
      <c r="Z129" s="55" t="str">
        <f t="shared" si="1"/>
        <v>7電気ヒートポンプ・ガス瞬間式併用型給湯機（ハイブリッド）</v>
      </c>
      <c r="AA129" s="55">
        <v>7</v>
      </c>
      <c r="AB129" s="55" t="s">
        <v>110</v>
      </c>
    </row>
    <row r="130" spans="26:28">
      <c r="Z130" s="55" t="str">
        <f t="shared" si="1"/>
        <v>8ガス従来型給湯温水暖房機</v>
      </c>
      <c r="AA130" s="55">
        <v>8</v>
      </c>
      <c r="AB130" s="55" t="s">
        <v>111</v>
      </c>
    </row>
    <row r="131" spans="26:28">
      <c r="Z131" s="55" t="str">
        <f t="shared" si="1"/>
        <v>9ガス潜熱回収型給湯温水暖房機</v>
      </c>
      <c r="AA131" s="55">
        <v>9</v>
      </c>
      <c r="AB131" s="55" t="s">
        <v>112</v>
      </c>
    </row>
    <row r="132" spans="26:28">
      <c r="Z132" s="55" t="str">
        <f t="shared" si="1"/>
        <v>10石油従来型給湯温水暖房機</v>
      </c>
      <c r="AA132" s="55">
        <v>10</v>
      </c>
      <c r="AB132" s="55" t="s">
        <v>113</v>
      </c>
    </row>
    <row r="133" spans="26:28">
      <c r="Z133" s="55" t="str">
        <f t="shared" si="1"/>
        <v>11石油潜熱回収型給湯温水暖房機</v>
      </c>
      <c r="AA133" s="55">
        <v>11</v>
      </c>
      <c r="AB133" s="55" t="s">
        <v>114</v>
      </c>
    </row>
    <row r="134" spans="26:28">
      <c r="Z134" s="55" t="str">
        <f t="shared" si="1"/>
        <v>12電気ヒーター給湯温水暖房機</v>
      </c>
      <c r="AA134" s="55">
        <v>12</v>
      </c>
      <c r="AB134" s="55" t="s">
        <v>115</v>
      </c>
    </row>
    <row r="135" spans="26:28">
      <c r="Z135" s="55" t="str">
        <f t="shared" si="1"/>
        <v>13電気ヒートポンプ・ガス瞬間式併用型給湯温水暖房機（暖房部：電気ヒートポンプ・ガス | 給湯部：ガス）</v>
      </c>
      <c r="AA135" s="55">
        <v>13</v>
      </c>
      <c r="AB135" s="55" t="s">
        <v>116</v>
      </c>
    </row>
    <row r="136" spans="26:28">
      <c r="Z136" s="55" t="str">
        <f t="shared" si="1"/>
        <v>14電気ヒートポンプ・ガス瞬間式併用型給湯温水暖房機（暖房部：電気ヒートポンプ・ガス | 給湯部：電気ヒートポンプ・ガス）</v>
      </c>
      <c r="AA136" s="55">
        <v>14</v>
      </c>
      <c r="AB136" s="55" t="s">
        <v>117</v>
      </c>
    </row>
    <row r="137" spans="26:28">
      <c r="Z137" s="55" t="str">
        <f t="shared" si="1"/>
        <v>15電気ヒートポンプ・ガス瞬間式併用型給湯温水暖房機（暖房部：ガス | 給湯部：電気ヒートポンプ・ガス）</v>
      </c>
      <c r="AA137" s="55">
        <v>15</v>
      </c>
      <c r="AB137" s="55" t="s">
        <v>118</v>
      </c>
    </row>
  </sheetData>
  <sheetProtection sheet="1" objects="1" scenarios="1" selectLockedCells="1"/>
  <mergeCells count="117">
    <mergeCell ref="C105:D105"/>
    <mergeCell ref="C34:D34"/>
    <mergeCell ref="C109:D109"/>
    <mergeCell ref="C117:D117"/>
    <mergeCell ref="C115:D115"/>
    <mergeCell ref="C49:D49"/>
    <mergeCell ref="J95:L95"/>
    <mergeCell ref="C116:D116"/>
    <mergeCell ref="C108:D108"/>
    <mergeCell ref="C110:D110"/>
    <mergeCell ref="C111:D111"/>
    <mergeCell ref="C112:D112"/>
    <mergeCell ref="C98:D98"/>
    <mergeCell ref="C99:D99"/>
    <mergeCell ref="C92:D92"/>
    <mergeCell ref="L57:N57"/>
    <mergeCell ref="C58:D58"/>
    <mergeCell ref="H60:I60"/>
    <mergeCell ref="L58:N58"/>
    <mergeCell ref="C61:D61"/>
    <mergeCell ref="M61:T61"/>
    <mergeCell ref="C62:D62"/>
    <mergeCell ref="C65:D65"/>
    <mergeCell ref="C66:D66"/>
    <mergeCell ref="M101:T101"/>
    <mergeCell ref="C114:D114"/>
    <mergeCell ref="C113:D113"/>
    <mergeCell ref="H99:I99"/>
    <mergeCell ref="C100:D100"/>
    <mergeCell ref="C101:D101"/>
    <mergeCell ref="H71:I71"/>
    <mergeCell ref="C72:D72"/>
    <mergeCell ref="M73:T73"/>
    <mergeCell ref="C73:D73"/>
    <mergeCell ref="C76:D76"/>
    <mergeCell ref="C82:D82"/>
    <mergeCell ref="K82:N82"/>
    <mergeCell ref="C83:D83"/>
    <mergeCell ref="C84:D84"/>
    <mergeCell ref="H86:I86"/>
    <mergeCell ref="C87:D87"/>
    <mergeCell ref="C88:D88"/>
    <mergeCell ref="C91:D91"/>
    <mergeCell ref="C93:D93"/>
    <mergeCell ref="C95:D95"/>
    <mergeCell ref="C96:D96"/>
    <mergeCell ref="C97:D97"/>
    <mergeCell ref="M88:T88"/>
    <mergeCell ref="K66:N66"/>
    <mergeCell ref="C59:D59"/>
    <mergeCell ref="C60:D60"/>
    <mergeCell ref="M43:T43"/>
    <mergeCell ref="C44:D44"/>
    <mergeCell ref="M44:T44"/>
    <mergeCell ref="C47:D47"/>
    <mergeCell ref="M47:T47"/>
    <mergeCell ref="C48:D48"/>
    <mergeCell ref="C50:D50"/>
    <mergeCell ref="C51:D51"/>
    <mergeCell ref="C45:D45"/>
    <mergeCell ref="C46:D46"/>
    <mergeCell ref="H49:I49"/>
    <mergeCell ref="C56:D56"/>
    <mergeCell ref="C57:D57"/>
    <mergeCell ref="C17:D17"/>
    <mergeCell ref="J17:R17"/>
    <mergeCell ref="H1:I1"/>
    <mergeCell ref="B2:E2"/>
    <mergeCell ref="H2:I2"/>
    <mergeCell ref="C4:D4"/>
    <mergeCell ref="C7:D7"/>
    <mergeCell ref="C8:D8"/>
    <mergeCell ref="C15:D15"/>
    <mergeCell ref="J15:S15"/>
    <mergeCell ref="C16:D16"/>
    <mergeCell ref="H16:I16"/>
    <mergeCell ref="C10:D10"/>
    <mergeCell ref="C9:D9"/>
    <mergeCell ref="C12:D12"/>
    <mergeCell ref="C11:D11"/>
    <mergeCell ref="C5:D6"/>
    <mergeCell ref="C23:D23"/>
    <mergeCell ref="C24:D24"/>
    <mergeCell ref="C25:D25"/>
    <mergeCell ref="C26:D26"/>
    <mergeCell ref="C27:D27"/>
    <mergeCell ref="C42:D42"/>
    <mergeCell ref="M28:T29"/>
    <mergeCell ref="C29:D29"/>
    <mergeCell ref="H31:I31"/>
    <mergeCell ref="C32:D32"/>
    <mergeCell ref="C30:D30"/>
    <mergeCell ref="C31:D31"/>
    <mergeCell ref="C28:D28"/>
    <mergeCell ref="C41:D41"/>
    <mergeCell ref="C38:D38"/>
    <mergeCell ref="C39:D39"/>
    <mergeCell ref="K39:M39"/>
    <mergeCell ref="C40:D40"/>
    <mergeCell ref="C33:D33"/>
    <mergeCell ref="C37:D37"/>
    <mergeCell ref="C67:D67"/>
    <mergeCell ref="C68:D68"/>
    <mergeCell ref="C69:D69"/>
    <mergeCell ref="C55:D55"/>
    <mergeCell ref="C43:D43"/>
    <mergeCell ref="C54:D54"/>
    <mergeCell ref="C94:D94"/>
    <mergeCell ref="C70:D70"/>
    <mergeCell ref="C71:D71"/>
    <mergeCell ref="C85:D85"/>
    <mergeCell ref="C86:D86"/>
    <mergeCell ref="C77:D77"/>
    <mergeCell ref="C79:D79"/>
    <mergeCell ref="C78:D78"/>
    <mergeCell ref="C81:D81"/>
    <mergeCell ref="C80:D80"/>
  </mergeCells>
  <phoneticPr fontId="3"/>
  <dataValidations xWindow="530" yWindow="656" count="24">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5:E56">
      <formula1>$Z$123:$Z$137</formula1>
    </dataValidation>
    <dataValidation type="list" allowBlank="1" showInputMessage="1" showErrorMessage="1" prompt="プルダウンから選択してください。" sqref="E67 E40">
      <formula1>"機器登録されている,機器登録されていない"</formula1>
    </dataValidation>
    <dataValidation type="list" allowBlank="1" showInputMessage="1" showErrorMessage="1" prompt="プルダウンから選択してください。" sqref="E16">
      <formula1>"利用する,利用しない（非FIT・FIP）"</formula1>
    </dataValidation>
    <dataValidation type="list" allowBlank="1" showInputMessage="1" showErrorMessage="1" promptTitle="　　　　　　　　　　　　　　　　　　　" prompt="プルダウンから選択してください。" sqref="E15">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7">
      <formula1>"使用する（従来から設置するものを）,使用する（今回新たに設置・今回取替）,使用しない"</formula1>
    </dataValidation>
    <dataValidation imeMode="halfAlpha" allowBlank="1" showInputMessage="1" showErrorMessage="1" prompt="「税抜」の金額を入力してください。" sqref="E57:E60 E28:E31 E84:E86 E43:E46 E68:E71 E96:E99"/>
    <dataValidation imeMode="halfAlpha" allowBlank="1" showInputMessage="1" showErrorMessage="1" prompt="小数点以下も入力してください。" sqref="E25:E26"/>
    <dataValidation imeMode="halfAlpha" allowBlank="1" showInputMessage="1" showErrorMessage="1" prompt="小数点第２位以下を切捨てた、小数点以下１桁の数値を入力してください。" sqref="E38"/>
    <dataValidation imeMode="halfAlpha" allowBlank="1" showInputMessage="1" showErrorMessage="1" prompt="当該メニューを申請する場合、貯湯ユニットが独立しているシステムについては必ず入力してください。" sqref="E66"/>
    <dataValidation imeMode="halfAlpha" allowBlank="1" showInputMessage="1" showErrorMessage="1" prompt="当該メニューを申請する場合は必ず入力してください。" sqref="E65 E23:E24 E37 E54 E76:E78 E82 E91:E93"/>
    <dataValidation allowBlank="1" showInputMessage="1" showErrorMessage="1" prompt="代理申請者が申請する場合は必ず入力してください。" sqref="G7:G12"/>
    <dataValidation imeMode="hiragana" allowBlank="1" showInputMessage="1" showErrorMessage="1" prompt="必ず入力してください。" sqref="E4:E6"/>
    <dataValidation imeMode="hiragana" allowBlank="1" showInputMessage="1" showErrorMessage="1" prompt="代理申請者が申請する場合は必ず入力してください。" sqref="E7:E9"/>
    <dataValidation type="list" allowBlank="1" showInputMessage="1" showErrorMessage="1" prompt="電気容量が4,800Ah・セル 未満 のものは「家庭用」_x000a_電気容量が4,800Ah・セル 以上 のものは「業務用」_x000a_を選択してください。" sqref="E39">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9 E95"/>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10"/>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1">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0">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4">
      <formula1>"V2H充放電設備,外部給電器,急速充電設備,普通充電設備"</formula1>
    </dataValidation>
    <dataValidation type="list" imeMode="hiragana" allowBlank="1" showInputMessage="1" showErrorMessage="1" prompt="必ず入力してください。" sqref="E12">
      <formula1>"左記について承知しました。"</formula1>
    </dataValidation>
    <dataValidation type="list" imeMode="halfAlpha" allowBlank="1" showInputMessage="1" showErrorMessage="1" prompt="太陽光発電設備の補助を申請する場合は必ず入力してください。" sqref="E105">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7"/>
    <dataValidation type="list" allowBlank="1" showInputMessage="1" showErrorMessage="1" prompt="プルダウンから選択してください。" sqref="E50">
      <formula1>"努めた,努めなかった"</formula1>
    </dataValidation>
    <dataValidation type="list"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11">
      <formula1>"低い方の額となる見積書を採用した。"</formula1>
    </dataValidation>
  </dataValidations>
  <hyperlinks>
    <hyperlink ref="L57" location="'高効率給湯器（新設）'!A1" display="対象となる給湯器（新設の場合）"/>
    <hyperlink ref="L58" location="'高効率給湯器（交換）'!A1" display="対象となる給湯器（交換の場合）"/>
    <hyperlink ref="K66" r:id="rId1"/>
    <hyperlink ref="K39" r:id="rId2"/>
    <hyperlink ref="M79" r:id="rId3"/>
    <hyperlink ref="M81" r:id="rId4"/>
    <hyperlink ref="M95" r:id="rId5"/>
    <hyperlink ref="M80" r:id="rId6"/>
    <hyperlink ref="M94"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20" max="8" man="1"/>
    <brk id="35" max="8" man="1"/>
    <brk id="52" max="8" man="1"/>
    <brk id="74" max="8" man="1"/>
    <brk id="89" max="8" man="1"/>
    <brk id="106" max="8" man="1"/>
  </rowBreaks>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4" hidden="1" customWidth="1" outlineLevel="1"/>
    <col min="2" max="3" width="0" style="74" hidden="1" customWidth="1" outlineLevel="1"/>
    <col min="4" max="4" width="97.125" style="74" customWidth="1" collapsed="1"/>
    <col min="5" max="5" width="17.5" style="74" customWidth="1"/>
    <col min="6" max="16384" width="9" style="74"/>
  </cols>
  <sheetData>
    <row r="1" spans="1:5" ht="33" customHeight="1" thickBot="1">
      <c r="D1" s="75" t="s">
        <v>119</v>
      </c>
      <c r="E1" s="75" t="s">
        <v>120</v>
      </c>
    </row>
    <row r="2" spans="1:5" ht="24.95" customHeight="1" thickTop="1">
      <c r="A2" s="76" t="s">
        <v>121</v>
      </c>
      <c r="D2" s="77" t="s">
        <v>122</v>
      </c>
      <c r="E2" s="78" t="s">
        <v>123</v>
      </c>
    </row>
    <row r="3" spans="1:5" ht="24.95" customHeight="1">
      <c r="A3" s="79" t="s">
        <v>124</v>
      </c>
      <c r="B3" s="80" t="s">
        <v>123</v>
      </c>
      <c r="D3" s="79" t="s">
        <v>125</v>
      </c>
      <c r="E3" s="80" t="s">
        <v>123</v>
      </c>
    </row>
    <row r="4" spans="1:5" ht="24.95" customHeight="1">
      <c r="A4" s="79" t="s">
        <v>126</v>
      </c>
      <c r="B4" s="80" t="s">
        <v>123</v>
      </c>
      <c r="D4" s="79" t="s">
        <v>127</v>
      </c>
      <c r="E4" s="80" t="s">
        <v>123</v>
      </c>
    </row>
    <row r="5" spans="1:5" ht="24.95" customHeight="1">
      <c r="A5" s="79" t="s">
        <v>128</v>
      </c>
      <c r="B5" s="80" t="s">
        <v>123</v>
      </c>
      <c r="D5" s="79" t="s">
        <v>129</v>
      </c>
      <c r="E5" s="80" t="s">
        <v>123</v>
      </c>
    </row>
    <row r="6" spans="1:5" ht="24.95" customHeight="1">
      <c r="A6" s="79" t="s">
        <v>130</v>
      </c>
      <c r="B6" s="80" t="s">
        <v>123</v>
      </c>
      <c r="D6" s="79" t="s">
        <v>131</v>
      </c>
      <c r="E6" s="80" t="s">
        <v>123</v>
      </c>
    </row>
    <row r="7" spans="1:5" ht="24.95" customHeight="1">
      <c r="A7" s="79" t="s">
        <v>132</v>
      </c>
      <c r="B7" s="81" t="s">
        <v>133</v>
      </c>
      <c r="D7" s="79" t="s">
        <v>134</v>
      </c>
      <c r="E7" s="81" t="s">
        <v>133</v>
      </c>
    </row>
    <row r="8" spans="1:5" ht="24.95" customHeight="1">
      <c r="A8" s="79" t="s">
        <v>135</v>
      </c>
      <c r="B8" s="81" t="s">
        <v>133</v>
      </c>
      <c r="D8" s="79" t="s">
        <v>136</v>
      </c>
      <c r="E8" s="81" t="s">
        <v>133</v>
      </c>
    </row>
    <row r="9" spans="1:5" ht="24.95" customHeight="1">
      <c r="A9" s="79" t="s">
        <v>122</v>
      </c>
      <c r="B9" s="80" t="s">
        <v>123</v>
      </c>
      <c r="D9" s="79" t="s">
        <v>137</v>
      </c>
      <c r="E9" s="80" t="s">
        <v>123</v>
      </c>
    </row>
    <row r="10" spans="1:5" ht="24.95" customHeight="1">
      <c r="A10" s="79" t="s">
        <v>125</v>
      </c>
      <c r="B10" s="80" t="s">
        <v>123</v>
      </c>
      <c r="D10" s="79" t="s">
        <v>138</v>
      </c>
      <c r="E10" s="80" t="s">
        <v>123</v>
      </c>
    </row>
    <row r="11" spans="1:5" ht="24.95" customHeight="1">
      <c r="A11" s="79" t="s">
        <v>127</v>
      </c>
      <c r="B11" s="80" t="s">
        <v>123</v>
      </c>
      <c r="D11" s="79" t="s">
        <v>124</v>
      </c>
      <c r="E11" s="80" t="s">
        <v>123</v>
      </c>
    </row>
    <row r="12" spans="1:5" ht="24.95" customHeight="1">
      <c r="A12" s="79" t="s">
        <v>129</v>
      </c>
      <c r="B12" s="80" t="s">
        <v>123</v>
      </c>
      <c r="D12" s="79" t="s">
        <v>126</v>
      </c>
      <c r="E12" s="80" t="s">
        <v>123</v>
      </c>
    </row>
    <row r="13" spans="1:5" ht="24.95" customHeight="1">
      <c r="A13" s="79" t="s">
        <v>131</v>
      </c>
      <c r="B13" s="80" t="s">
        <v>123</v>
      </c>
      <c r="D13" s="79" t="s">
        <v>128</v>
      </c>
      <c r="E13" s="80" t="s">
        <v>123</v>
      </c>
    </row>
    <row r="14" spans="1:5" ht="24.95" customHeight="1">
      <c r="A14" s="79" t="s">
        <v>134</v>
      </c>
      <c r="B14" s="81" t="s">
        <v>133</v>
      </c>
      <c r="D14" s="79" t="s">
        <v>130</v>
      </c>
      <c r="E14" s="80" t="s">
        <v>123</v>
      </c>
    </row>
    <row r="15" spans="1:5" ht="24.95" customHeight="1">
      <c r="A15" s="79" t="s">
        <v>136</v>
      </c>
      <c r="B15" s="81" t="s">
        <v>133</v>
      </c>
      <c r="D15" s="79" t="s">
        <v>132</v>
      </c>
      <c r="E15" s="81" t="s">
        <v>133</v>
      </c>
    </row>
    <row r="16" spans="1:5" ht="24.95" customHeight="1">
      <c r="A16" s="79" t="s">
        <v>137</v>
      </c>
      <c r="B16" s="80" t="s">
        <v>123</v>
      </c>
      <c r="D16" s="79" t="s">
        <v>135</v>
      </c>
      <c r="E16" s="81" t="s">
        <v>133</v>
      </c>
    </row>
    <row r="17" spans="1:2">
      <c r="A17" s="79" t="s">
        <v>138</v>
      </c>
      <c r="B17" s="80" t="s">
        <v>123</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4" customWidth="1"/>
    <col min="2" max="16384" width="9" style="74"/>
  </cols>
  <sheetData>
    <row r="1" spans="1:16" ht="219" customHeight="1">
      <c r="A1" s="82" t="s">
        <v>139</v>
      </c>
      <c r="B1" s="83" t="s">
        <v>122</v>
      </c>
      <c r="C1" s="83" t="s">
        <v>125</v>
      </c>
      <c r="D1" s="83" t="s">
        <v>127</v>
      </c>
      <c r="E1" s="83" t="s">
        <v>129</v>
      </c>
      <c r="F1" s="83" t="s">
        <v>131</v>
      </c>
      <c r="G1" s="83" t="s">
        <v>140</v>
      </c>
      <c r="H1" s="83" t="s">
        <v>136</v>
      </c>
      <c r="I1" s="83" t="s">
        <v>137</v>
      </c>
      <c r="J1" s="83" t="s">
        <v>138</v>
      </c>
      <c r="K1" s="83" t="s">
        <v>124</v>
      </c>
      <c r="L1" s="83" t="s">
        <v>126</v>
      </c>
      <c r="M1" s="83" t="s">
        <v>128</v>
      </c>
      <c r="N1" s="83" t="s">
        <v>130</v>
      </c>
      <c r="O1" s="83" t="s">
        <v>132</v>
      </c>
      <c r="P1" s="83" t="s">
        <v>135</v>
      </c>
    </row>
    <row r="2" spans="1:16" ht="24.95" customHeight="1">
      <c r="A2" s="79" t="s">
        <v>122</v>
      </c>
      <c r="B2" s="80" t="s">
        <v>123</v>
      </c>
      <c r="C2" s="80" t="s">
        <v>123</v>
      </c>
      <c r="D2" s="80" t="s">
        <v>123</v>
      </c>
      <c r="E2" s="80" t="s">
        <v>123</v>
      </c>
      <c r="F2" s="80" t="s">
        <v>123</v>
      </c>
      <c r="G2" s="81" t="s">
        <v>141</v>
      </c>
      <c r="H2" s="81" t="s">
        <v>141</v>
      </c>
      <c r="I2" s="80" t="s">
        <v>123</v>
      </c>
      <c r="J2" s="80" t="s">
        <v>123</v>
      </c>
      <c r="K2" s="80" t="s">
        <v>123</v>
      </c>
      <c r="L2" s="80" t="s">
        <v>123</v>
      </c>
      <c r="M2" s="80" t="s">
        <v>123</v>
      </c>
      <c r="N2" s="80" t="s">
        <v>123</v>
      </c>
      <c r="O2" s="81" t="s">
        <v>141</v>
      </c>
      <c r="P2" s="81" t="s">
        <v>141</v>
      </c>
    </row>
    <row r="3" spans="1:16" ht="24.95" customHeight="1">
      <c r="A3" s="79" t="s">
        <v>125</v>
      </c>
      <c r="B3" s="80" t="s">
        <v>123</v>
      </c>
      <c r="C3" s="80" t="s">
        <v>123</v>
      </c>
      <c r="D3" s="80" t="s">
        <v>123</v>
      </c>
      <c r="E3" s="80" t="s">
        <v>123</v>
      </c>
      <c r="F3" s="80" t="s">
        <v>123</v>
      </c>
      <c r="G3" s="84" t="s">
        <v>123</v>
      </c>
      <c r="H3" s="81" t="s">
        <v>141</v>
      </c>
      <c r="I3" s="80" t="s">
        <v>123</v>
      </c>
      <c r="J3" s="80" t="s">
        <v>123</v>
      </c>
      <c r="K3" s="80" t="s">
        <v>123</v>
      </c>
      <c r="L3" s="80" t="s">
        <v>123</v>
      </c>
      <c r="M3" s="80" t="s">
        <v>123</v>
      </c>
      <c r="N3" s="80" t="s">
        <v>123</v>
      </c>
      <c r="O3" s="81" t="s">
        <v>141</v>
      </c>
      <c r="P3" s="81" t="s">
        <v>141</v>
      </c>
    </row>
    <row r="4" spans="1:16" ht="24.95" customHeight="1">
      <c r="A4" s="79" t="s">
        <v>127</v>
      </c>
      <c r="B4" s="80" t="s">
        <v>123</v>
      </c>
      <c r="C4" s="80" t="s">
        <v>123</v>
      </c>
      <c r="D4" s="80" t="s">
        <v>123</v>
      </c>
      <c r="E4" s="80" t="s">
        <v>123</v>
      </c>
      <c r="F4" s="80" t="s">
        <v>123</v>
      </c>
      <c r="G4" s="81" t="s">
        <v>141</v>
      </c>
      <c r="H4" s="81" t="s">
        <v>141</v>
      </c>
      <c r="I4" s="80" t="s">
        <v>123</v>
      </c>
      <c r="J4" s="80" t="s">
        <v>123</v>
      </c>
      <c r="K4" s="80" t="s">
        <v>123</v>
      </c>
      <c r="L4" s="80" t="s">
        <v>123</v>
      </c>
      <c r="M4" s="80" t="s">
        <v>123</v>
      </c>
      <c r="N4" s="80" t="s">
        <v>123</v>
      </c>
      <c r="O4" s="81" t="s">
        <v>141</v>
      </c>
      <c r="P4" s="81" t="s">
        <v>141</v>
      </c>
    </row>
    <row r="5" spans="1:16" ht="24.95" customHeight="1">
      <c r="A5" s="79" t="s">
        <v>129</v>
      </c>
      <c r="B5" s="80" t="s">
        <v>123</v>
      </c>
      <c r="C5" s="80" t="s">
        <v>123</v>
      </c>
      <c r="D5" s="80" t="s">
        <v>123</v>
      </c>
      <c r="E5" s="80" t="s">
        <v>123</v>
      </c>
      <c r="F5" s="80" t="s">
        <v>123</v>
      </c>
      <c r="G5" s="81" t="s">
        <v>141</v>
      </c>
      <c r="H5" s="81" t="s">
        <v>141</v>
      </c>
      <c r="I5" s="80" t="s">
        <v>123</v>
      </c>
      <c r="J5" s="80" t="s">
        <v>123</v>
      </c>
      <c r="K5" s="80" t="s">
        <v>123</v>
      </c>
      <c r="L5" s="80" t="s">
        <v>123</v>
      </c>
      <c r="M5" s="80" t="s">
        <v>123</v>
      </c>
      <c r="N5" s="80" t="s">
        <v>123</v>
      </c>
      <c r="O5" s="81" t="s">
        <v>141</v>
      </c>
      <c r="P5" s="81" t="s">
        <v>141</v>
      </c>
    </row>
    <row r="6" spans="1:16" ht="24.95" customHeight="1">
      <c r="A6" s="79" t="s">
        <v>131</v>
      </c>
      <c r="B6" s="80" t="s">
        <v>123</v>
      </c>
      <c r="C6" s="80" t="s">
        <v>123</v>
      </c>
      <c r="D6" s="80" t="s">
        <v>123</v>
      </c>
      <c r="E6" s="80" t="s">
        <v>123</v>
      </c>
      <c r="F6" s="80" t="s">
        <v>123</v>
      </c>
      <c r="G6" s="81" t="s">
        <v>141</v>
      </c>
      <c r="H6" s="81" t="s">
        <v>141</v>
      </c>
      <c r="I6" s="80" t="s">
        <v>123</v>
      </c>
      <c r="J6" s="80" t="s">
        <v>123</v>
      </c>
      <c r="K6" s="80" t="s">
        <v>123</v>
      </c>
      <c r="L6" s="80" t="s">
        <v>123</v>
      </c>
      <c r="M6" s="80" t="s">
        <v>123</v>
      </c>
      <c r="N6" s="80" t="s">
        <v>123</v>
      </c>
      <c r="O6" s="81" t="s">
        <v>141</v>
      </c>
      <c r="P6" s="81" t="s">
        <v>141</v>
      </c>
    </row>
    <row r="7" spans="1:16" ht="24.95" customHeight="1">
      <c r="A7" s="79" t="s">
        <v>142</v>
      </c>
      <c r="B7" s="80" t="s">
        <v>123</v>
      </c>
      <c r="C7" s="80" t="s">
        <v>123</v>
      </c>
      <c r="D7" s="80" t="s">
        <v>123</v>
      </c>
      <c r="E7" s="80" t="s">
        <v>123</v>
      </c>
      <c r="F7" s="80" t="s">
        <v>123</v>
      </c>
      <c r="G7" s="84" t="s">
        <v>123</v>
      </c>
      <c r="H7" s="84" t="s">
        <v>123</v>
      </c>
      <c r="I7" s="80" t="s">
        <v>123</v>
      </c>
      <c r="J7" s="80" t="s">
        <v>123</v>
      </c>
      <c r="K7" s="80" t="s">
        <v>123</v>
      </c>
      <c r="L7" s="80" t="s">
        <v>123</v>
      </c>
      <c r="M7" s="80" t="s">
        <v>123</v>
      </c>
      <c r="N7" s="80" t="s">
        <v>123</v>
      </c>
      <c r="O7" s="84" t="s">
        <v>123</v>
      </c>
      <c r="P7" s="84" t="s">
        <v>123</v>
      </c>
    </row>
    <row r="8" spans="1:16" ht="24.95" customHeight="1">
      <c r="A8" s="79" t="s">
        <v>136</v>
      </c>
      <c r="B8" s="80" t="s">
        <v>123</v>
      </c>
      <c r="C8" s="80" t="s">
        <v>123</v>
      </c>
      <c r="D8" s="80" t="s">
        <v>123</v>
      </c>
      <c r="E8" s="80" t="s">
        <v>123</v>
      </c>
      <c r="F8" s="80" t="s">
        <v>123</v>
      </c>
      <c r="G8" s="84" t="s">
        <v>123</v>
      </c>
      <c r="H8" s="84" t="s">
        <v>123</v>
      </c>
      <c r="I8" s="80" t="s">
        <v>123</v>
      </c>
      <c r="J8" s="80" t="s">
        <v>123</v>
      </c>
      <c r="K8" s="80" t="s">
        <v>123</v>
      </c>
      <c r="L8" s="80" t="s">
        <v>123</v>
      </c>
      <c r="M8" s="80" t="s">
        <v>123</v>
      </c>
      <c r="N8" s="80" t="s">
        <v>123</v>
      </c>
      <c r="O8" s="84" t="s">
        <v>123</v>
      </c>
      <c r="P8" s="84" t="s">
        <v>123</v>
      </c>
    </row>
    <row r="9" spans="1:16" ht="24.95" customHeight="1">
      <c r="A9" s="79" t="s">
        <v>137</v>
      </c>
      <c r="B9" s="80" t="s">
        <v>123</v>
      </c>
      <c r="C9" s="80" t="s">
        <v>123</v>
      </c>
      <c r="D9" s="80" t="s">
        <v>123</v>
      </c>
      <c r="E9" s="80" t="s">
        <v>123</v>
      </c>
      <c r="F9" s="80" t="s">
        <v>123</v>
      </c>
      <c r="G9" s="81" t="s">
        <v>141</v>
      </c>
      <c r="H9" s="81" t="s">
        <v>141</v>
      </c>
      <c r="I9" s="80" t="s">
        <v>123</v>
      </c>
      <c r="J9" s="80" t="s">
        <v>123</v>
      </c>
      <c r="K9" s="80" t="s">
        <v>123</v>
      </c>
      <c r="L9" s="80" t="s">
        <v>123</v>
      </c>
      <c r="M9" s="80" t="s">
        <v>123</v>
      </c>
      <c r="N9" s="80" t="s">
        <v>123</v>
      </c>
      <c r="O9" s="81" t="s">
        <v>141</v>
      </c>
      <c r="P9" s="81" t="s">
        <v>141</v>
      </c>
    </row>
    <row r="10" spans="1:16" ht="24.95" customHeight="1">
      <c r="A10" s="79" t="s">
        <v>138</v>
      </c>
      <c r="B10" s="80" t="s">
        <v>123</v>
      </c>
      <c r="C10" s="80" t="s">
        <v>123</v>
      </c>
      <c r="D10" s="80" t="s">
        <v>123</v>
      </c>
      <c r="E10" s="80" t="s">
        <v>123</v>
      </c>
      <c r="F10" s="80" t="s">
        <v>123</v>
      </c>
      <c r="G10" s="84" t="s">
        <v>123</v>
      </c>
      <c r="H10" s="81" t="s">
        <v>141</v>
      </c>
      <c r="I10" s="80" t="s">
        <v>123</v>
      </c>
      <c r="J10" s="80" t="s">
        <v>123</v>
      </c>
      <c r="K10" s="80" t="s">
        <v>123</v>
      </c>
      <c r="L10" s="80" t="s">
        <v>123</v>
      </c>
      <c r="M10" s="80" t="s">
        <v>123</v>
      </c>
      <c r="N10" s="80" t="s">
        <v>123</v>
      </c>
      <c r="O10" s="81" t="s">
        <v>141</v>
      </c>
      <c r="P10" s="81" t="s">
        <v>141</v>
      </c>
    </row>
    <row r="11" spans="1:16" ht="24.95" customHeight="1">
      <c r="A11" s="79" t="s">
        <v>124</v>
      </c>
      <c r="B11" s="80" t="s">
        <v>123</v>
      </c>
      <c r="C11" s="80" t="s">
        <v>123</v>
      </c>
      <c r="D11" s="80" t="s">
        <v>123</v>
      </c>
      <c r="E11" s="80" t="s">
        <v>123</v>
      </c>
      <c r="F11" s="80" t="s">
        <v>123</v>
      </c>
      <c r="G11" s="81" t="s">
        <v>141</v>
      </c>
      <c r="H11" s="81" t="s">
        <v>141</v>
      </c>
      <c r="I11" s="80" t="s">
        <v>123</v>
      </c>
      <c r="J11" s="80" t="s">
        <v>123</v>
      </c>
      <c r="K11" s="80" t="s">
        <v>123</v>
      </c>
      <c r="L11" s="80" t="s">
        <v>123</v>
      </c>
      <c r="M11" s="80" t="s">
        <v>123</v>
      </c>
      <c r="N11" s="80" t="s">
        <v>123</v>
      </c>
      <c r="O11" s="81" t="s">
        <v>141</v>
      </c>
      <c r="P11" s="81" t="s">
        <v>141</v>
      </c>
    </row>
    <row r="12" spans="1:16" ht="24.95" customHeight="1">
      <c r="A12" s="79" t="s">
        <v>126</v>
      </c>
      <c r="B12" s="80" t="s">
        <v>123</v>
      </c>
      <c r="C12" s="80" t="s">
        <v>123</v>
      </c>
      <c r="D12" s="80" t="s">
        <v>123</v>
      </c>
      <c r="E12" s="80" t="s">
        <v>123</v>
      </c>
      <c r="F12" s="80" t="s">
        <v>123</v>
      </c>
      <c r="G12" s="81" t="s">
        <v>141</v>
      </c>
      <c r="H12" s="81" t="s">
        <v>141</v>
      </c>
      <c r="I12" s="80" t="s">
        <v>123</v>
      </c>
      <c r="J12" s="80" t="s">
        <v>123</v>
      </c>
      <c r="K12" s="80" t="s">
        <v>123</v>
      </c>
      <c r="L12" s="80" t="s">
        <v>123</v>
      </c>
      <c r="M12" s="80" t="s">
        <v>123</v>
      </c>
      <c r="N12" s="80" t="s">
        <v>123</v>
      </c>
      <c r="O12" s="81" t="s">
        <v>141</v>
      </c>
      <c r="P12" s="81" t="s">
        <v>141</v>
      </c>
    </row>
    <row r="13" spans="1:16" ht="24.95" customHeight="1">
      <c r="A13" s="79" t="s">
        <v>128</v>
      </c>
      <c r="B13" s="80" t="s">
        <v>123</v>
      </c>
      <c r="C13" s="80" t="s">
        <v>123</v>
      </c>
      <c r="D13" s="80" t="s">
        <v>123</v>
      </c>
      <c r="E13" s="80" t="s">
        <v>123</v>
      </c>
      <c r="F13" s="80" t="s">
        <v>123</v>
      </c>
      <c r="G13" s="81" t="s">
        <v>141</v>
      </c>
      <c r="H13" s="81" t="s">
        <v>141</v>
      </c>
      <c r="I13" s="80" t="s">
        <v>123</v>
      </c>
      <c r="J13" s="80" t="s">
        <v>123</v>
      </c>
      <c r="K13" s="80" t="s">
        <v>123</v>
      </c>
      <c r="L13" s="80" t="s">
        <v>123</v>
      </c>
      <c r="M13" s="80" t="s">
        <v>123</v>
      </c>
      <c r="N13" s="80" t="s">
        <v>123</v>
      </c>
      <c r="O13" s="81" t="s">
        <v>141</v>
      </c>
      <c r="P13" s="81" t="s">
        <v>141</v>
      </c>
    </row>
    <row r="14" spans="1:16" ht="24.95" customHeight="1">
      <c r="A14" s="79" t="s">
        <v>130</v>
      </c>
      <c r="B14" s="80" t="s">
        <v>123</v>
      </c>
      <c r="C14" s="80" t="s">
        <v>123</v>
      </c>
      <c r="D14" s="80" t="s">
        <v>123</v>
      </c>
      <c r="E14" s="80" t="s">
        <v>123</v>
      </c>
      <c r="F14" s="80" t="s">
        <v>123</v>
      </c>
      <c r="G14" s="84" t="s">
        <v>123</v>
      </c>
      <c r="H14" s="81" t="s">
        <v>141</v>
      </c>
      <c r="I14" s="80" t="s">
        <v>123</v>
      </c>
      <c r="J14" s="80" t="s">
        <v>123</v>
      </c>
      <c r="K14" s="80" t="s">
        <v>123</v>
      </c>
      <c r="L14" s="80" t="s">
        <v>123</v>
      </c>
      <c r="M14" s="80" t="s">
        <v>123</v>
      </c>
      <c r="N14" s="80" t="s">
        <v>123</v>
      </c>
      <c r="O14" s="81" t="s">
        <v>141</v>
      </c>
      <c r="P14" s="81" t="s">
        <v>141</v>
      </c>
    </row>
    <row r="15" spans="1:16" ht="24.95" customHeight="1">
      <c r="A15" s="79" t="s">
        <v>132</v>
      </c>
      <c r="B15" s="80" t="s">
        <v>123</v>
      </c>
      <c r="C15" s="80" t="s">
        <v>123</v>
      </c>
      <c r="D15" s="80" t="s">
        <v>123</v>
      </c>
      <c r="E15" s="80" t="s">
        <v>123</v>
      </c>
      <c r="F15" s="80" t="s">
        <v>123</v>
      </c>
      <c r="G15" s="84" t="s">
        <v>123</v>
      </c>
      <c r="H15" s="84" t="s">
        <v>123</v>
      </c>
      <c r="I15" s="80" t="s">
        <v>123</v>
      </c>
      <c r="J15" s="80" t="s">
        <v>123</v>
      </c>
      <c r="K15" s="80" t="s">
        <v>123</v>
      </c>
      <c r="L15" s="80" t="s">
        <v>123</v>
      </c>
      <c r="M15" s="80" t="s">
        <v>123</v>
      </c>
      <c r="N15" s="80" t="s">
        <v>123</v>
      </c>
      <c r="O15" s="84" t="s">
        <v>123</v>
      </c>
      <c r="P15" s="84" t="s">
        <v>123</v>
      </c>
    </row>
    <row r="16" spans="1:16" ht="24.95" customHeight="1">
      <c r="A16" s="79" t="s">
        <v>135</v>
      </c>
      <c r="B16" s="80" t="s">
        <v>123</v>
      </c>
      <c r="C16" s="80" t="s">
        <v>123</v>
      </c>
      <c r="D16" s="80" t="s">
        <v>123</v>
      </c>
      <c r="E16" s="80" t="s">
        <v>123</v>
      </c>
      <c r="F16" s="80" t="s">
        <v>123</v>
      </c>
      <c r="G16" s="84" t="s">
        <v>123</v>
      </c>
      <c r="H16" s="84" t="s">
        <v>123</v>
      </c>
      <c r="I16" s="80" t="s">
        <v>123</v>
      </c>
      <c r="J16" s="80" t="s">
        <v>123</v>
      </c>
      <c r="K16" s="80" t="s">
        <v>123</v>
      </c>
      <c r="L16" s="80" t="s">
        <v>123</v>
      </c>
      <c r="M16" s="80" t="s">
        <v>123</v>
      </c>
      <c r="N16" s="80" t="s">
        <v>123</v>
      </c>
      <c r="O16" s="84" t="s">
        <v>123</v>
      </c>
      <c r="P16" s="84" t="s">
        <v>123</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2025-05-08T05:21:00Z</cp:lastPrinted>
  <dcterms:created xsi:type="dcterms:W3CDTF">2023-09-26T16:26:06Z</dcterms:created>
  <dcterms:modified xsi:type="dcterms:W3CDTF">2025-10-20T07:31:23Z</dcterms:modified>
</cp:coreProperties>
</file>