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395" windowHeight="9870"/>
  </bookViews>
  <sheets>
    <sheet name="補助対象経費等確認・計算書" sheetId="1" r:id="rId1"/>
    <sheet name="高効率給湯器（新設）" sheetId="2" r:id="rId2"/>
    <sheet name="高効率給湯器（交換）" sheetId="3" r:id="rId3"/>
  </sheets>
  <externalReferences>
    <externalReference r:id="rId4"/>
    <externalReference r:id="rId5"/>
    <externalReference r:id="rId6"/>
  </externalReferences>
  <definedNames>
    <definedName name="_xlnm.Print_Area" localSheetId="0">補助対象経費等確認・計算書!$A$1:$I$116</definedName>
    <definedName name="_xlnm.Print_Titles" localSheetId="0">補助対象経費等確認・計算書!$1:$2</definedName>
    <definedName name="ああ">#REF!</definedName>
    <definedName name="モジュール">#REF!</definedName>
    <definedName name="モジュール種類">#REF!</definedName>
    <definedName name="一面">#REF!</definedName>
    <definedName name="屋根形状">#REF!</definedName>
    <definedName name="屋根材">#REF!</definedName>
    <definedName name="屋根材２">#REF!</definedName>
    <definedName name="三面">#REF!</definedName>
    <definedName name="設置面">#REF!</definedName>
    <definedName name="設備">[1]データ参照シート!$B$2</definedName>
    <definedName name="大分類">[2]基本情報!#REF!</definedName>
    <definedName name="提案区分">#REF!</definedName>
    <definedName name="二面">#REF!</definedName>
    <definedName name="年間予測発電量基準地点">#REF!</definedName>
    <definedName name="別1その2">[3]対策!$K$2:$K$9</definedName>
    <definedName name="方角">#REF!</definedName>
  </definedNames>
  <calcPr calcId="145621"/>
</workbook>
</file>

<file path=xl/calcChain.xml><?xml version="1.0" encoding="utf-8"?>
<calcChain xmlns="http://schemas.openxmlformats.org/spreadsheetml/2006/main">
  <c r="J48" i="1" l="1"/>
  <c r="F48" i="1"/>
  <c r="J23" i="1" l="1"/>
  <c r="E39" i="1" l="1"/>
  <c r="J31" i="1"/>
  <c r="H103" i="1"/>
  <c r="H30" i="1" s="1"/>
  <c r="J103" i="1"/>
  <c r="X10" i="1"/>
  <c r="C48" i="1" l="1"/>
  <c r="J98" i="1"/>
  <c r="J85" i="1"/>
  <c r="J79" i="1" l="1"/>
  <c r="F37" i="1" l="1"/>
  <c r="J92" i="1" l="1"/>
  <c r="J78" i="1" l="1"/>
  <c r="E81" i="1" l="1"/>
  <c r="X9" i="1" l="1"/>
  <c r="E96" i="1" l="1"/>
  <c r="E83" i="1"/>
  <c r="E68" i="1"/>
  <c r="E57" i="1"/>
  <c r="E30" i="1"/>
  <c r="E45" i="1"/>
  <c r="E43" i="1"/>
  <c r="E28" i="1"/>
  <c r="E47" i="1" l="1"/>
  <c r="H48" i="1" s="1"/>
  <c r="J90" i="1"/>
  <c r="J91" i="1"/>
  <c r="J93" i="1"/>
  <c r="J94" i="1"/>
  <c r="J95" i="1"/>
  <c r="J89" i="1"/>
  <c r="J74" i="1" l="1"/>
  <c r="J75" i="1"/>
  <c r="J76" i="1"/>
  <c r="J77" i="1"/>
  <c r="J80" i="1"/>
  <c r="J82" i="1"/>
  <c r="Z135" i="1" l="1"/>
  <c r="Z134" i="1"/>
  <c r="Z133" i="1"/>
  <c r="Z132" i="1"/>
  <c r="Z131" i="1"/>
  <c r="Z130" i="1"/>
  <c r="Z129" i="1"/>
  <c r="Z128" i="1"/>
  <c r="Z127" i="1"/>
  <c r="Z126" i="1"/>
  <c r="Z125" i="1"/>
  <c r="Z124" i="1"/>
  <c r="Z123" i="1"/>
  <c r="Z122" i="1"/>
  <c r="Z121" i="1"/>
  <c r="J70" i="1"/>
  <c r="J67" i="1"/>
  <c r="J66" i="1"/>
  <c r="J65" i="1"/>
  <c r="J63" i="1"/>
  <c r="J60" i="1"/>
  <c r="Y55" i="1"/>
  <c r="J52" i="1"/>
  <c r="J46" i="1"/>
  <c r="J40" i="1"/>
  <c r="E40" i="1"/>
  <c r="J38" i="1"/>
  <c r="J36" i="1"/>
  <c r="J35" i="1"/>
  <c r="J30" i="1"/>
  <c r="J25" i="1"/>
  <c r="E25" i="1"/>
  <c r="J22" i="1"/>
  <c r="J21" i="1"/>
  <c r="X15" i="1"/>
  <c r="J15" i="1"/>
  <c r="X14" i="1"/>
  <c r="J14" i="1"/>
  <c r="X13" i="1"/>
  <c r="J13" i="1"/>
  <c r="X5" i="1"/>
  <c r="X4" i="1"/>
  <c r="H1" i="1"/>
  <c r="G1" i="1"/>
  <c r="X2" i="1" l="1"/>
  <c r="H15" i="1" s="1"/>
  <c r="Z53" i="1"/>
  <c r="Y54" i="1"/>
  <c r="Z54" i="1"/>
  <c r="Y53" i="1"/>
  <c r="E46" i="1"/>
  <c r="H70" i="1" l="1"/>
  <c r="E70" i="1" s="1"/>
  <c r="E71" i="1" s="1"/>
  <c r="E110" i="1" s="1"/>
  <c r="H59" i="1"/>
  <c r="E59" i="1" s="1"/>
  <c r="J16" i="1"/>
  <c r="Y56" i="1"/>
  <c r="E31" i="1" l="1"/>
  <c r="E32" i="1" s="1"/>
  <c r="E107" i="1" s="1"/>
  <c r="E115" i="1" s="1"/>
  <c r="J49" i="1"/>
  <c r="E60" i="1"/>
  <c r="E109" i="1" s="1"/>
  <c r="H85" i="1"/>
  <c r="J54" i="1"/>
  <c r="J53" i="1"/>
  <c r="E49" i="1" l="1"/>
  <c r="E108" i="1" s="1"/>
  <c r="E106" i="1"/>
  <c r="H98" i="1"/>
  <c r="E85" i="1"/>
  <c r="E86" i="1" l="1"/>
  <c r="E111" i="1" s="1"/>
  <c r="E98" i="1"/>
  <c r="E99" i="1" s="1"/>
  <c r="E112" i="1" l="1"/>
  <c r="E113" i="1" s="1"/>
  <c r="E114" i="1" l="1"/>
</calcChain>
</file>

<file path=xl/comments1.xml><?xml version="1.0" encoding="utf-8"?>
<comments xmlns="http://schemas.openxmlformats.org/spreadsheetml/2006/main">
  <authors>
    <author>作成者</author>
  </authors>
  <commentList>
    <comment ref="E53"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 ref="E54"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List>
</comments>
</file>

<file path=xl/sharedStrings.xml><?xml version="1.0" encoding="utf-8"?>
<sst xmlns="http://schemas.openxmlformats.org/spreadsheetml/2006/main" count="635" uniqueCount="249">
  <si>
    <t>補助対象経費等確認・計算書</t>
    <rPh sb="0" eb="2">
      <t>ホジョ</t>
    </rPh>
    <rPh sb="2" eb="4">
      <t>タイショウ</t>
    </rPh>
    <rPh sb="4" eb="6">
      <t>ケイヒ</t>
    </rPh>
    <rPh sb="6" eb="7">
      <t>トウ</t>
    </rPh>
    <rPh sb="7" eb="9">
      <t>カクニン</t>
    </rPh>
    <rPh sb="10" eb="13">
      <t>ケイサンショ</t>
    </rPh>
    <phoneticPr fontId="3"/>
  </si>
  <si>
    <t>必須項目（入力済：１　未入力０）</t>
    <rPh sb="0" eb="2">
      <t>ヒッス</t>
    </rPh>
    <rPh sb="2" eb="4">
      <t>コウモク</t>
    </rPh>
    <rPh sb="5" eb="7">
      <t>ニュウリョク</t>
    </rPh>
    <rPh sb="7" eb="8">
      <t>スミ</t>
    </rPh>
    <rPh sb="11" eb="14">
      <t>ミニュウリョク</t>
    </rPh>
    <phoneticPr fontId="11"/>
  </si>
  <si>
    <t>申請者住所</t>
    <rPh sb="0" eb="3">
      <t>シンセイシャ</t>
    </rPh>
    <rPh sb="3" eb="5">
      <t>ジュウショ</t>
    </rPh>
    <phoneticPr fontId="15"/>
  </si>
  <si>
    <t>※記載必須</t>
    <rPh sb="1" eb="3">
      <t>キサイ</t>
    </rPh>
    <rPh sb="3" eb="5">
      <t>ヒッス</t>
    </rPh>
    <phoneticPr fontId="11"/>
  </si>
  <si>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11"/>
  </si>
  <si>
    <t>申請者氏名</t>
    <rPh sb="0" eb="3">
      <t>シンセイシャ</t>
    </rPh>
    <rPh sb="3" eb="5">
      <t>シメイ</t>
    </rPh>
    <phoneticPr fontId="11"/>
  </si>
  <si>
    <t>手続代行者住所</t>
    <rPh sb="0" eb="2">
      <t>テツヅキ</t>
    </rPh>
    <rPh sb="4" eb="5">
      <t>シャ</t>
    </rPh>
    <rPh sb="5" eb="7">
      <t>ジュウショ</t>
    </rPh>
    <phoneticPr fontId="15"/>
  </si>
  <si>
    <t>１　太陽光発電設備等の設置の状況とFIT・FIP制度の利用について（記載必須）</t>
    <rPh sb="2" eb="5">
      <t>タイヨウコウ</t>
    </rPh>
    <rPh sb="5" eb="7">
      <t>ハツデン</t>
    </rPh>
    <rPh sb="7" eb="9">
      <t>セツビ</t>
    </rPh>
    <rPh sb="9" eb="10">
      <t>トウ</t>
    </rPh>
    <rPh sb="11" eb="13">
      <t>セッチ</t>
    </rPh>
    <rPh sb="14" eb="16">
      <t>ジョウキョウ</t>
    </rPh>
    <rPh sb="24" eb="26">
      <t>セイド</t>
    </rPh>
    <rPh sb="27" eb="29">
      <t>リヨウ</t>
    </rPh>
    <rPh sb="34" eb="36">
      <t>キサイ</t>
    </rPh>
    <rPh sb="36" eb="38">
      <t>ヒッス</t>
    </rPh>
    <phoneticPr fontId="11"/>
  </si>
  <si>
    <t>←1については全ての黄色セルについて必ず入力してください</t>
    <rPh sb="7" eb="8">
      <t>スベ</t>
    </rPh>
    <rPh sb="18" eb="19">
      <t>カナラ</t>
    </rPh>
    <rPh sb="20" eb="22">
      <t>ニュウリョク</t>
    </rPh>
    <phoneticPr fontId="11"/>
  </si>
  <si>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22"/>
  </si>
  <si>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22"/>
  </si>
  <si>
    <t>【記載必須項目判定】</t>
    <rPh sb="1" eb="3">
      <t>キサイ</t>
    </rPh>
    <rPh sb="3" eb="5">
      <t>ヒッス</t>
    </rPh>
    <rPh sb="5" eb="7">
      <t>コウモク</t>
    </rPh>
    <phoneticPr fontId="11"/>
  </si>
  <si>
    <t>今回の補助制度申請後、コージェネレーションシステムを使用するか（今回コージェネレーションシステムの補助を申請するか否かについては問わない。）</t>
    <rPh sb="0" eb="2">
      <t>コンカイ</t>
    </rPh>
    <rPh sb="3" eb="5">
      <t>ホジョ</t>
    </rPh>
    <rPh sb="5" eb="7">
      <t>セイド</t>
    </rPh>
    <rPh sb="7" eb="9">
      <t>シンセイ</t>
    </rPh>
    <rPh sb="9" eb="10">
      <t>ゴ</t>
    </rPh>
    <rPh sb="26" eb="28">
      <t>シヨウ</t>
    </rPh>
    <rPh sb="32" eb="34">
      <t>コンカイ</t>
    </rPh>
    <rPh sb="49" eb="51">
      <t>ホジョ</t>
    </rPh>
    <rPh sb="52" eb="54">
      <t>シンセイ</t>
    </rPh>
    <rPh sb="57" eb="58">
      <t>イナ</t>
    </rPh>
    <rPh sb="64" eb="65">
      <t>ト</t>
    </rPh>
    <phoneticPr fontId="22"/>
  </si>
  <si>
    <t>２　交付申請額</t>
    <rPh sb="2" eb="4">
      <t>コウフ</t>
    </rPh>
    <rPh sb="4" eb="6">
      <t>シンセイ</t>
    </rPh>
    <rPh sb="6" eb="7">
      <t>ガク</t>
    </rPh>
    <phoneticPr fontId="11"/>
  </si>
  <si>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11"/>
  </si>
  <si>
    <t>(1)太陽光発電設備</t>
    <rPh sb="3" eb="6">
      <t>タイヨウコウ</t>
    </rPh>
    <rPh sb="6" eb="8">
      <t>ハツデン</t>
    </rPh>
    <rPh sb="8" eb="10">
      <t>セツビ</t>
    </rPh>
    <phoneticPr fontId="11"/>
  </si>
  <si>
    <t>太陽電池モジュールのメーカー名・型番</t>
    <rPh sb="0" eb="2">
      <t>タイヨウ</t>
    </rPh>
    <rPh sb="2" eb="4">
      <t>デンチ</t>
    </rPh>
    <rPh sb="14" eb="15">
      <t>メイ</t>
    </rPh>
    <rPh sb="16" eb="18">
      <t>カタバン</t>
    </rPh>
    <phoneticPr fontId="22"/>
  </si>
  <si>
    <t>A</t>
    <phoneticPr fontId="11"/>
  </si>
  <si>
    <t>パワーコンディショナーのメーカー名・型番</t>
    <rPh sb="16" eb="17">
      <t>メイ</t>
    </rPh>
    <rPh sb="18" eb="20">
      <t>カタバン</t>
    </rPh>
    <phoneticPr fontId="22"/>
  </si>
  <si>
    <t>B</t>
    <phoneticPr fontId="11"/>
  </si>
  <si>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22"/>
  </si>
  <si>
    <t>kW</t>
    <phoneticPr fontId="11"/>
  </si>
  <si>
    <t>C</t>
    <phoneticPr fontId="11"/>
  </si>
  <si>
    <t>パワーコンディショナーの定格出力の合計値</t>
    <rPh sb="12" eb="14">
      <t>テイカク</t>
    </rPh>
    <rPh sb="14" eb="16">
      <t>シュツリョク</t>
    </rPh>
    <rPh sb="17" eb="20">
      <t>ゴウケイチ</t>
    </rPh>
    <phoneticPr fontId="22"/>
  </si>
  <si>
    <t>D</t>
    <phoneticPr fontId="11"/>
  </si>
  <si>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22"/>
  </si>
  <si>
    <t>kW(CまたはDの低い方)</t>
    <rPh sb="9" eb="10">
      <t>ヒク</t>
    </rPh>
    <rPh sb="11" eb="12">
      <t>ホウ</t>
    </rPh>
    <phoneticPr fontId="11"/>
  </si>
  <si>
    <t>E</t>
    <phoneticPr fontId="11"/>
  </si>
  <si>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11"/>
  </si>
  <si>
    <t>円</t>
    <rPh sb="0" eb="1">
      <t>エン</t>
    </rPh>
    <phoneticPr fontId="11"/>
  </si>
  <si>
    <t>F</t>
    <phoneticPr fontId="11"/>
  </si>
  <si>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26"/>
  </si>
  <si>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11"/>
  </si>
  <si>
    <t>G</t>
    <phoneticPr fontId="11"/>
  </si>
  <si>
    <t>【補助対象経費判定】</t>
    <rPh sb="1" eb="3">
      <t>ホジョ</t>
    </rPh>
    <rPh sb="3" eb="5">
      <t>タイショウ</t>
    </rPh>
    <rPh sb="5" eb="7">
      <t>ケイヒ</t>
    </rPh>
    <phoneticPr fontId="11"/>
  </si>
  <si>
    <t>太陽光発電設備の補助対象費用（税抜）</t>
    <rPh sb="8" eb="10">
      <t>ホジョ</t>
    </rPh>
    <rPh sb="10" eb="12">
      <t>タイショウ</t>
    </rPh>
    <rPh sb="12" eb="14">
      <t>ヒヨウ</t>
    </rPh>
    <rPh sb="15" eb="16">
      <t>ゼイ</t>
    </rPh>
    <rPh sb="16" eb="17">
      <t>ヌ</t>
    </rPh>
    <phoneticPr fontId="11"/>
  </si>
  <si>
    <t>H</t>
    <phoneticPr fontId="11"/>
  </si>
  <si>
    <t>(2)蓄電池</t>
    <rPh sb="3" eb="6">
      <t>チクデンチ</t>
    </rPh>
    <phoneticPr fontId="11"/>
  </si>
  <si>
    <t>機器のメーカー名・パッケージ型番</t>
    <rPh sb="0" eb="2">
      <t>キキ</t>
    </rPh>
    <rPh sb="7" eb="8">
      <t>メイ</t>
    </rPh>
    <rPh sb="14" eb="16">
      <t>カタバン</t>
    </rPh>
    <phoneticPr fontId="22"/>
  </si>
  <si>
    <t>A</t>
    <phoneticPr fontId="11"/>
  </si>
  <si>
    <t>蓄電池の定格容量(kWh)
（小数点第２位以下を切り捨て）</t>
    <rPh sb="0" eb="3">
      <t>チクデンチ</t>
    </rPh>
    <rPh sb="4" eb="6">
      <t>テイカク</t>
    </rPh>
    <rPh sb="6" eb="8">
      <t>ヨウリョウ</t>
    </rPh>
    <phoneticPr fontId="22"/>
  </si>
  <si>
    <t>kWh</t>
    <phoneticPr fontId="11"/>
  </si>
  <si>
    <t>B</t>
    <phoneticPr fontId="11"/>
  </si>
  <si>
    <t xml:space="preserve">蓄電池の種別
家庭用(4,800Ah・セル未満)
/業務用（電気容量が4,800Ah・セル以上）
</t>
    <rPh sb="0" eb="3">
      <t>チクデンチ</t>
    </rPh>
    <rPh sb="4" eb="6">
      <t>シュベツ</t>
    </rPh>
    <rPh sb="26" eb="28">
      <t>ギョウム</t>
    </rPh>
    <rPh sb="28" eb="29">
      <t>ヨウ</t>
    </rPh>
    <phoneticPr fontId="22"/>
  </si>
  <si>
    <t>C</t>
    <phoneticPr fontId="11"/>
  </si>
  <si>
    <t>←一般社団法人環境共創イニシアチブ（SⅡ）</t>
    <phoneticPr fontId="11"/>
  </si>
  <si>
    <t>上記型番が一般社団法人環境共創イニシアチブ（SⅡ）により機器登録されているか（「家庭用」の場合のみ入力）https://sii.or.jp/zeh/battery/search</t>
    <rPh sb="40" eb="43">
      <t>カテイヨウ</t>
    </rPh>
    <rPh sb="45" eb="47">
      <t>バアイ</t>
    </rPh>
    <rPh sb="49" eb="51">
      <t>ニュウリョク</t>
    </rPh>
    <phoneticPr fontId="22"/>
  </si>
  <si>
    <t>D</t>
    <phoneticPr fontId="11"/>
  </si>
  <si>
    <t>E</t>
    <phoneticPr fontId="11"/>
  </si>
  <si>
    <t>種類</t>
  </si>
  <si>
    <t>公称電圧（V)</t>
  </si>
  <si>
    <t>火災予防条例の規制を受ける4800Ah・セル以上の蓄電池の容量（ｋWｈ）</t>
    <phoneticPr fontId="11"/>
  </si>
  <si>
    <t>蓄電池の定格容量×51,000円/kWh</t>
    <rPh sb="0" eb="3">
      <t>チクデンチ</t>
    </rPh>
    <rPh sb="4" eb="6">
      <t>テイカク</t>
    </rPh>
    <rPh sb="6" eb="8">
      <t>ヨウリョウ</t>
    </rPh>
    <rPh sb="15" eb="16">
      <t>エン</t>
    </rPh>
    <phoneticPr fontId="22"/>
  </si>
  <si>
    <t>円(B*51,000)</t>
    <rPh sb="0" eb="1">
      <t>エン</t>
    </rPh>
    <phoneticPr fontId="11"/>
  </si>
  <si>
    <t>鉛蓄電池</t>
  </si>
  <si>
    <t>家庭用</t>
    <rPh sb="0" eb="3">
      <t>カテイヨウ</t>
    </rPh>
    <phoneticPr fontId="11"/>
  </si>
  <si>
    <r>
      <t>蓄電池の設備費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チクデンチ</t>
    </rPh>
    <rPh sb="4" eb="7">
      <t>セツビヒ</t>
    </rPh>
    <rPh sb="8" eb="9">
      <t>ゼイ</t>
    </rPh>
    <rPh sb="9" eb="10">
      <t>ヌ</t>
    </rPh>
    <phoneticPr fontId="11"/>
  </si>
  <si>
    <t>円</t>
    <rPh sb="0" eb="1">
      <t>エン</t>
    </rPh>
    <phoneticPr fontId="22"/>
  </si>
  <si>
    <t>←必要な項目が入力されており補助要件を満たしている場合に"○"と表示される。"○"が表示されない場合、設備の見直し等を行うこと</t>
    <phoneticPr fontId="26"/>
  </si>
  <si>
    <t>アルカリ蓄電池</t>
  </si>
  <si>
    <t>業務用</t>
    <rPh sb="0" eb="3">
      <t>ギョウムヨウ</t>
    </rPh>
    <phoneticPr fontId="11"/>
  </si>
  <si>
    <r>
      <t>蓄電池の設置工事費</t>
    </r>
    <r>
      <rPr>
        <b/>
        <sz val="10"/>
        <color rgb="FFFF0000"/>
        <rFont val="ＭＳ Ｐゴシック"/>
        <family val="3"/>
        <charset val="128"/>
      </rPr>
      <t>（税抜）</t>
    </r>
    <r>
      <rPr>
        <sz val="10"/>
        <rFont val="ＭＳ Ｐゴシック"/>
        <family val="3"/>
        <charset val="128"/>
      </rPr>
      <t xml:space="preserve">
　　・設計費
　　・工事費
　　・諸経費</t>
    </r>
    <rPh sb="0" eb="3">
      <t>チクデンチ</t>
    </rPh>
    <rPh sb="4" eb="6">
      <t>セッチ</t>
    </rPh>
    <rPh sb="6" eb="8">
      <t>コウジ</t>
    </rPh>
    <phoneticPr fontId="11"/>
  </si>
  <si>
    <t>　【費用効率性要件】
　家庭用（電気容量が4,800Ah・セル未満）⇒15.5 万円/kWh（工事費込み・税抜き）以下</t>
    <rPh sb="2" eb="4">
      <t>ヒヨウ</t>
    </rPh>
    <rPh sb="4" eb="7">
      <t>コウリツセイ</t>
    </rPh>
    <rPh sb="7" eb="9">
      <t>ヨウケン</t>
    </rPh>
    <rPh sb="59" eb="61">
      <t>イカ</t>
    </rPh>
    <phoneticPr fontId="26"/>
  </si>
  <si>
    <t>ニッケル水素蓄電池</t>
  </si>
  <si>
    <t>蓄電池の補助対象費用（税抜）</t>
    <rPh sb="0" eb="3">
      <t>チクデンチ</t>
    </rPh>
    <rPh sb="4" eb="6">
      <t>ホジョ</t>
    </rPh>
    <rPh sb="6" eb="8">
      <t>タイショウ</t>
    </rPh>
    <rPh sb="8" eb="10">
      <t>ヒヨウ</t>
    </rPh>
    <rPh sb="11" eb="13">
      <t>ゼイヌキ</t>
    </rPh>
    <phoneticPr fontId="22"/>
  </si>
  <si>
    <t>　事業用（電気容量が4,800Ah・セル以上）⇒19 万円/kWh（工事費込み・税抜き）以下</t>
    <rPh sb="1" eb="3">
      <t>ジギョウ</t>
    </rPh>
    <rPh sb="20" eb="22">
      <t>イジョウ</t>
    </rPh>
    <rPh sb="44" eb="46">
      <t>イカ</t>
    </rPh>
    <phoneticPr fontId="26"/>
  </si>
  <si>
    <t>リチウムイオン蓄電池</t>
  </si>
  <si>
    <t>蓄電池の補助対象費用（税抜）×1/3
（小数点以下切捨）</t>
    <rPh sb="0" eb="3">
      <t>チクデンチ</t>
    </rPh>
    <rPh sb="4" eb="6">
      <t>ホジョ</t>
    </rPh>
    <rPh sb="6" eb="8">
      <t>タイショウ</t>
    </rPh>
    <rPh sb="8" eb="10">
      <t>ヒヨウ</t>
    </rPh>
    <rPh sb="11" eb="13">
      <t>ゼイヌキ</t>
    </rPh>
    <phoneticPr fontId="22"/>
  </si>
  <si>
    <t>J</t>
    <phoneticPr fontId="11"/>
  </si>
  <si>
    <t>【補助対象経費判定】</t>
    <phoneticPr fontId="11"/>
  </si>
  <si>
    <t>NAS電池</t>
  </si>
  <si>
    <t>蓄電池1kWhあたりの補助対象費用
（費用効率性）</t>
    <rPh sb="0" eb="3">
      <t>チクデンチ</t>
    </rPh>
    <rPh sb="11" eb="13">
      <t>ホジョ</t>
    </rPh>
    <rPh sb="13" eb="15">
      <t>タイショウ</t>
    </rPh>
    <rPh sb="15" eb="17">
      <t>ヒヨウ</t>
    </rPh>
    <rPh sb="19" eb="21">
      <t>ヒヨウ</t>
    </rPh>
    <rPh sb="21" eb="24">
      <t>コウリツセイ</t>
    </rPh>
    <phoneticPr fontId="22"/>
  </si>
  <si>
    <t>リン酸鉄リチウムイオン電池</t>
  </si>
  <si>
    <t>(3)高効率給湯器</t>
    <rPh sb="3" eb="6">
      <t>コウコウリツ</t>
    </rPh>
    <rPh sb="6" eb="9">
      <t>キュウトウキ</t>
    </rPh>
    <phoneticPr fontId="11"/>
  </si>
  <si>
    <t>今回設置するシステムの、もしくはヒートポンプユニット及び貯湯ユニットのメーカー名・型番</t>
    <rPh sb="0" eb="2">
      <t>コンカイ</t>
    </rPh>
    <rPh sb="2" eb="4">
      <t>セッチ</t>
    </rPh>
    <rPh sb="26" eb="27">
      <t>オヨ</t>
    </rPh>
    <rPh sb="28" eb="30">
      <t>チョトウ</t>
    </rPh>
    <phoneticPr fontId="22"/>
  </si>
  <si>
    <t>今回設置する機器の種類</t>
    <rPh sb="0" eb="2">
      <t>コンカイ</t>
    </rPh>
    <rPh sb="2" eb="4">
      <t>セッチ</t>
    </rPh>
    <rPh sb="6" eb="8">
      <t>キキ</t>
    </rPh>
    <rPh sb="9" eb="11">
      <t>シュルイ</t>
    </rPh>
    <phoneticPr fontId="22"/>
  </si>
  <si>
    <t>交換前の機器の種類（新設の場合（新築など）は入力しないこと）</t>
    <rPh sb="0" eb="2">
      <t>コウカン</t>
    </rPh>
    <rPh sb="2" eb="3">
      <t>マエ</t>
    </rPh>
    <rPh sb="4" eb="6">
      <t>キキ</t>
    </rPh>
    <rPh sb="7" eb="9">
      <t>シュルイ</t>
    </rPh>
    <rPh sb="10" eb="12">
      <t>シンセツ</t>
    </rPh>
    <rPh sb="13" eb="15">
      <t>バアイ</t>
    </rPh>
    <rPh sb="22" eb="24">
      <t>ニュウリョク</t>
    </rPh>
    <phoneticPr fontId="11"/>
  </si>
  <si>
    <r>
      <t>高効率給湯器の設備費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コウコウリツ</t>
    </rPh>
    <rPh sb="3" eb="6">
      <t>キュウトウキ</t>
    </rPh>
    <rPh sb="7" eb="10">
      <t>セツビヒ</t>
    </rPh>
    <rPh sb="11" eb="12">
      <t>ゼイ</t>
    </rPh>
    <rPh sb="12" eb="13">
      <t>ヌ</t>
    </rPh>
    <phoneticPr fontId="11"/>
  </si>
  <si>
    <t>対象となる給湯器（新設の場合）</t>
    <rPh sb="0" eb="2">
      <t>タイショウ</t>
    </rPh>
    <rPh sb="5" eb="8">
      <t>キュウトウキ</t>
    </rPh>
    <rPh sb="9" eb="11">
      <t>シンセツ</t>
    </rPh>
    <rPh sb="12" eb="14">
      <t>バアイ</t>
    </rPh>
    <phoneticPr fontId="11"/>
  </si>
  <si>
    <r>
      <t>高効率給湯器の設置工事費</t>
    </r>
    <r>
      <rPr>
        <b/>
        <sz val="10"/>
        <color rgb="FFFF0000"/>
        <rFont val="ＭＳ Ｐゴシック"/>
        <family val="3"/>
        <charset val="128"/>
      </rPr>
      <t>（税抜）</t>
    </r>
    <r>
      <rPr>
        <sz val="10"/>
        <rFont val="ＭＳ Ｐゴシック"/>
        <family val="3"/>
        <charset val="128"/>
      </rPr>
      <t xml:space="preserve">
　　・設計費
　　・工事費
　　・諸経費</t>
    </r>
    <rPh sb="7" eb="9">
      <t>セッチ</t>
    </rPh>
    <rPh sb="9" eb="11">
      <t>コウジ</t>
    </rPh>
    <phoneticPr fontId="11"/>
  </si>
  <si>
    <t>対象となる給湯器（交換の場合）</t>
    <rPh sb="0" eb="2">
      <t>タイショウ</t>
    </rPh>
    <rPh sb="5" eb="8">
      <t>キュウトウキ</t>
    </rPh>
    <rPh sb="9" eb="11">
      <t>コウカン</t>
    </rPh>
    <rPh sb="12" eb="14">
      <t>バアイ</t>
    </rPh>
    <phoneticPr fontId="11"/>
  </si>
  <si>
    <t>高効率給湯器の補助対象費用（税抜）</t>
    <rPh sb="7" eb="9">
      <t>ホジョ</t>
    </rPh>
    <rPh sb="9" eb="11">
      <t>タイショウ</t>
    </rPh>
    <rPh sb="11" eb="13">
      <t>ヒヨウ</t>
    </rPh>
    <rPh sb="14" eb="15">
      <t>ゼイ</t>
    </rPh>
    <rPh sb="15" eb="16">
      <t>ヌ</t>
    </rPh>
    <phoneticPr fontId="11"/>
  </si>
  <si>
    <t>円（D＋E)</t>
    <rPh sb="0" eb="1">
      <t>エン</t>
    </rPh>
    <phoneticPr fontId="11"/>
  </si>
  <si>
    <t>燃料電池ユニットのメーカー名・型番</t>
    <rPh sb="0" eb="2">
      <t>ネンリョウ</t>
    </rPh>
    <rPh sb="2" eb="4">
      <t>デンチ</t>
    </rPh>
    <rPh sb="13" eb="14">
      <t>メイ</t>
    </rPh>
    <rPh sb="15" eb="17">
      <t>カタバン</t>
    </rPh>
    <phoneticPr fontId="22"/>
  </si>
  <si>
    <t>貯湯ユニットのメーカー名・型番（貯湯槽が燃料電池ユニットと一体となっている場合は記載不要）</t>
    <rPh sb="0" eb="2">
      <t>チョトウ</t>
    </rPh>
    <rPh sb="11" eb="12">
      <t>メイ</t>
    </rPh>
    <rPh sb="13" eb="15">
      <t>カタバン</t>
    </rPh>
    <rPh sb="16" eb="19">
      <t>チョトウソウ</t>
    </rPh>
    <rPh sb="29" eb="31">
      <t>イッタイ</t>
    </rPh>
    <rPh sb="37" eb="39">
      <t>バアイ</t>
    </rPh>
    <rPh sb="40" eb="42">
      <t>キサイ</t>
    </rPh>
    <rPh sb="42" eb="44">
      <t>フヨウ</t>
    </rPh>
    <phoneticPr fontId="22"/>
  </si>
  <si>
    <t>http://fca-enefarm.org/registration_list.html</t>
    <phoneticPr fontId="11"/>
  </si>
  <si>
    <t>←一般社団法人燃料電池普及促進協会（FCA）</t>
    <phoneticPr fontId="11"/>
  </si>
  <si>
    <t>上記２つのユニットの型番が一般社団法人燃料電池普及促進協会（FCA）に機器登録されているか。
http://fca-enefarm.org/registration_list.html</t>
    <rPh sb="0" eb="2">
      <t>ジョウキ</t>
    </rPh>
    <rPh sb="10" eb="12">
      <t>カタバン</t>
    </rPh>
    <rPh sb="13" eb="15">
      <t>イッパン</t>
    </rPh>
    <rPh sb="15" eb="17">
      <t>シャダン</t>
    </rPh>
    <rPh sb="17" eb="19">
      <t>ホウジン</t>
    </rPh>
    <rPh sb="19" eb="21">
      <t>ネンリョウ</t>
    </rPh>
    <rPh sb="21" eb="23">
      <t>デンチ</t>
    </rPh>
    <rPh sb="23" eb="25">
      <t>フキュウ</t>
    </rPh>
    <rPh sb="25" eb="27">
      <t>ソクシン</t>
    </rPh>
    <rPh sb="27" eb="29">
      <t>キョウカイ</t>
    </rPh>
    <rPh sb="35" eb="37">
      <t>キキ</t>
    </rPh>
    <rPh sb="37" eb="39">
      <t>トウロク</t>
    </rPh>
    <phoneticPr fontId="22"/>
  </si>
  <si>
    <r>
      <t>コージェネレーションシステムの設備費</t>
    </r>
    <r>
      <rPr>
        <b/>
        <sz val="10"/>
        <color rgb="FFFF0000"/>
        <rFont val="ＭＳ Ｐゴシック"/>
        <family val="3"/>
        <charset val="128"/>
      </rPr>
      <t>（税抜）</t>
    </r>
    <r>
      <rPr>
        <sz val="10"/>
        <rFont val="ＭＳ Ｐゴシック"/>
        <family val="3"/>
        <charset val="128"/>
      </rPr>
      <t xml:space="preserve">
　　・設備費
　　・附属設備費
　　・その他設備費</t>
    </r>
    <rPh sb="15" eb="18">
      <t>セツビヒ</t>
    </rPh>
    <rPh sb="19" eb="20">
      <t>ゼイ</t>
    </rPh>
    <rPh sb="20" eb="21">
      <t>ヌ</t>
    </rPh>
    <phoneticPr fontId="11"/>
  </si>
  <si>
    <r>
      <rPr>
        <sz val="9"/>
        <rFont val="ＭＳ Ｐゴシック"/>
        <family val="3"/>
        <charset val="128"/>
      </rPr>
      <t>コージェネレーションシステムの設置工事費</t>
    </r>
    <r>
      <rPr>
        <b/>
        <sz val="10"/>
        <color rgb="FFFF0000"/>
        <rFont val="ＭＳ Ｐゴシック"/>
        <family val="3"/>
        <charset val="128"/>
      </rPr>
      <t>（税抜）</t>
    </r>
    <r>
      <rPr>
        <sz val="10"/>
        <rFont val="ＭＳ Ｐゴシック"/>
        <family val="3"/>
        <charset val="128"/>
      </rPr>
      <t xml:space="preserve">
　　・設計費
　　・工事費
　　・諸経費</t>
    </r>
    <rPh sb="15" eb="17">
      <t>セッチ</t>
    </rPh>
    <rPh sb="17" eb="19">
      <t>コウジ</t>
    </rPh>
    <phoneticPr fontId="11"/>
  </si>
  <si>
    <t>コージェネレーションシステムの補助対象費用（税抜）</t>
    <rPh sb="15" eb="17">
      <t>ホジョ</t>
    </rPh>
    <rPh sb="17" eb="19">
      <t>タイショウ</t>
    </rPh>
    <rPh sb="19" eb="21">
      <t>ヒヨウ</t>
    </rPh>
    <rPh sb="22" eb="23">
      <t>ゼイ</t>
    </rPh>
    <rPh sb="23" eb="24">
      <t>ヌ</t>
    </rPh>
    <phoneticPr fontId="11"/>
  </si>
  <si>
    <t>コージェネレーションシステムの補助交付申請額
（補助対象費用の２分の１(千円未満切り捨て)、50万円上限）</t>
    <rPh sb="15" eb="17">
      <t>ホジョ</t>
    </rPh>
    <rPh sb="17" eb="19">
      <t>コウフ</t>
    </rPh>
    <rPh sb="19" eb="21">
      <t>シンセイ</t>
    </rPh>
    <rPh sb="21" eb="22">
      <t>ガク</t>
    </rPh>
    <rPh sb="24" eb="26">
      <t>ホジョ</t>
    </rPh>
    <rPh sb="26" eb="28">
      <t>タイショウ</t>
    </rPh>
    <rPh sb="28" eb="30">
      <t>ヒヨウ</t>
    </rPh>
    <rPh sb="32" eb="33">
      <t>ブン</t>
    </rPh>
    <rPh sb="48" eb="50">
      <t>マンエン</t>
    </rPh>
    <rPh sb="50" eb="52">
      <t>ジョウゲン</t>
    </rPh>
    <phoneticPr fontId="11"/>
  </si>
  <si>
    <t>３　自家消費率（太陽光発電設備の補助を申請する場合のみ入力）</t>
    <rPh sb="2" eb="4">
      <t>ジカ</t>
    </rPh>
    <rPh sb="4" eb="6">
      <t>ショウヒ</t>
    </rPh>
    <rPh sb="6" eb="7">
      <t>リツ</t>
    </rPh>
    <rPh sb="8" eb="15">
      <t>タイヨウコウハツデンセツビ</t>
    </rPh>
    <rPh sb="16" eb="18">
      <t>ホジョ</t>
    </rPh>
    <rPh sb="19" eb="21">
      <t>シンセイ</t>
    </rPh>
    <rPh sb="23" eb="25">
      <t>バアイ</t>
    </rPh>
    <rPh sb="27" eb="29">
      <t>ニュウリョク</t>
    </rPh>
    <phoneticPr fontId="11"/>
  </si>
  <si>
    <t>A</t>
  </si>
  <si>
    <t>【自家消費率判定】</t>
    <rPh sb="1" eb="3">
      <t>ジカ</t>
    </rPh>
    <rPh sb="3" eb="5">
      <t>ショウヒ</t>
    </rPh>
    <rPh sb="5" eb="6">
      <t>リツ</t>
    </rPh>
    <phoneticPr fontId="11"/>
  </si>
  <si>
    <t>B</t>
  </si>
  <si>
    <t>C</t>
  </si>
  <si>
    <t>自家消費率</t>
    <rPh sb="0" eb="2">
      <t>ジカ</t>
    </rPh>
    <rPh sb="2" eb="4">
      <t>ショウヒ</t>
    </rPh>
    <rPh sb="4" eb="5">
      <t>リツ</t>
    </rPh>
    <phoneticPr fontId="22"/>
  </si>
  <si>
    <t>D</t>
  </si>
  <si>
    <t>４　補助金交付申請額合計</t>
    <rPh sb="2" eb="4">
      <t>ホジョ</t>
    </rPh>
    <rPh sb="5" eb="7">
      <t>コウフ</t>
    </rPh>
    <rPh sb="7" eb="9">
      <t>シンセイ</t>
    </rPh>
    <rPh sb="9" eb="10">
      <t>ガク</t>
    </rPh>
    <rPh sb="10" eb="12">
      <t>ゴウケイ</t>
    </rPh>
    <phoneticPr fontId="11"/>
  </si>
  <si>
    <t>蓄電池の補助交付申請額（再掲）</t>
    <rPh sb="0" eb="3">
      <t>チクデンチ</t>
    </rPh>
    <rPh sb="4" eb="6">
      <t>ホジョ</t>
    </rPh>
    <rPh sb="6" eb="8">
      <t>コウフ</t>
    </rPh>
    <rPh sb="8" eb="10">
      <t>シンセイ</t>
    </rPh>
    <rPh sb="10" eb="11">
      <t>ガク</t>
    </rPh>
    <rPh sb="12" eb="14">
      <t>サイケイ</t>
    </rPh>
    <phoneticPr fontId="11"/>
  </si>
  <si>
    <t>高効率給湯器の補助交付申請額（再掲）</t>
    <rPh sb="0" eb="6">
      <t>コウコウリツキュウトウキ</t>
    </rPh>
    <rPh sb="7" eb="9">
      <t>ホジョ</t>
    </rPh>
    <rPh sb="9" eb="11">
      <t>コウフ</t>
    </rPh>
    <rPh sb="11" eb="13">
      <t>シンセイ</t>
    </rPh>
    <rPh sb="13" eb="14">
      <t>ガク</t>
    </rPh>
    <rPh sb="15" eb="17">
      <t>サイケイ</t>
    </rPh>
    <phoneticPr fontId="11"/>
  </si>
  <si>
    <t>コージェネレーションシステムの補助交付申請額（再掲）</t>
    <rPh sb="15" eb="17">
      <t>ホジョ</t>
    </rPh>
    <rPh sb="17" eb="19">
      <t>コウフ</t>
    </rPh>
    <rPh sb="19" eb="21">
      <t>シンセイ</t>
    </rPh>
    <rPh sb="21" eb="22">
      <t>ガク</t>
    </rPh>
    <rPh sb="23" eb="25">
      <t>サイケイ</t>
    </rPh>
    <phoneticPr fontId="11"/>
  </si>
  <si>
    <t>補助交付申請額合計</t>
    <rPh sb="0" eb="2">
      <t>ホジョ</t>
    </rPh>
    <rPh sb="2" eb="4">
      <t>コウフ</t>
    </rPh>
    <rPh sb="4" eb="6">
      <t>シンセイ</t>
    </rPh>
    <rPh sb="6" eb="7">
      <t>ガク</t>
    </rPh>
    <rPh sb="7" eb="9">
      <t>ゴウケイ</t>
    </rPh>
    <phoneticPr fontId="11"/>
  </si>
  <si>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</si>
  <si>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</si>
  <si>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</si>
  <si>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</si>
  <si>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</si>
  <si>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11"/>
  </si>
  <si>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</si>
  <si>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</si>
  <si>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</si>
  <si>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</si>
  <si>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</si>
  <si>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</si>
  <si>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</si>
  <si>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</si>
  <si>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</si>
  <si>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新設する給湯器にかかる機器の種別</t>
    <rPh sb="0" eb="2">
      <t>シンセツ</t>
    </rPh>
    <rPh sb="4" eb="6">
      <t>キュウトウ</t>
    </rPh>
    <rPh sb="6" eb="7">
      <t>キ</t>
    </rPh>
    <rPh sb="11" eb="13">
      <t>キキ</t>
    </rPh>
    <rPh sb="14" eb="16">
      <t>シュベツ</t>
    </rPh>
    <phoneticPr fontId="11"/>
  </si>
  <si>
    <t>対象（○）・対象外</t>
    <rPh sb="0" eb="2">
      <t>タイショウ</t>
    </rPh>
    <rPh sb="6" eb="9">
      <t>タイショウガイ</t>
    </rPh>
    <phoneticPr fontId="11"/>
  </si>
  <si>
    <t>新規対象機器</t>
    <rPh sb="0" eb="2">
      <t>シンキ</t>
    </rPh>
    <rPh sb="2" eb="4">
      <t>タイショウ</t>
    </rPh>
    <rPh sb="4" eb="6">
      <t>キキ</t>
    </rPh>
    <phoneticPr fontId="11"/>
  </si>
  <si>
    <t>1ガス従来型給湯機</t>
  </si>
  <si>
    <t>対象外</t>
  </si>
  <si>
    <t>10石油従来型給湯温水暖房機</t>
  </si>
  <si>
    <t>2ガス潜熱回収型給湯機（エコジョーズ）</t>
  </si>
  <si>
    <t>11石油潜熱回収型給湯温水暖房機</t>
  </si>
  <si>
    <t>3石油従来型給湯機</t>
  </si>
  <si>
    <t>12電気ヒーター給湯温水暖房機</t>
  </si>
  <si>
    <t>4石油潜熱回収型給湯機</t>
  </si>
  <si>
    <t>13電気ヒートポンプ・ガス瞬間式併用型給湯温水暖房機（暖房部：電気ヒートポンプ・ガス | 給湯部：ガス）</t>
  </si>
  <si>
    <t>5電気ヒーター給湯機</t>
  </si>
  <si>
    <t>14電気ヒートポンプ・ガス瞬間式併用型給湯温水暖房機（暖房部：電気ヒートポンプ・ガス | 給湯部：電気ヒートポンプ・ガス）</t>
  </si>
  <si>
    <t>○</t>
    <phoneticPr fontId="11"/>
  </si>
  <si>
    <t>6電気ヒートポンプ給湯機（CO2冷媒）（太陽熱利用設備を使用しないもの）（エコキュート）</t>
    <phoneticPr fontId="11"/>
  </si>
  <si>
    <t>15電気ヒートポンプ・ガス瞬間式併用型給湯温水暖房機（暖房部：ガス | 給湯部：電気ヒートポンプ・ガス）</t>
  </si>
  <si>
    <t>7電気ヒートポンプ・ガス瞬間式併用型給湯機（ハイブリッド）</t>
  </si>
  <si>
    <t>8ガス従来型給湯温水暖房機</t>
  </si>
  <si>
    <t>9ガス潜熱回収型給湯温水暖房機</t>
  </si>
  <si>
    <t>交換前の給湯器にかかる機器の種別　＼　交換後の給湯器にかかる機器の種別</t>
    <rPh sb="0" eb="2">
      <t>コウカン</t>
    </rPh>
    <rPh sb="4" eb="7">
      <t>キュウトウキ</t>
    </rPh>
    <rPh sb="11" eb="13">
      <t>キキ</t>
    </rPh>
    <rPh sb="14" eb="16">
      <t>シュベツ</t>
    </rPh>
    <rPh sb="19" eb="21">
      <t>コウカン</t>
    </rPh>
    <phoneticPr fontId="11"/>
  </si>
  <si>
    <t>6電気ヒートポンプ給湯機（CO2冷媒）（太陽熱利用設備を使用しないもの）（エコキュート）</t>
    <phoneticPr fontId="11"/>
  </si>
  <si>
    <t>○</t>
    <phoneticPr fontId="11"/>
  </si>
  <si>
    <t>6電気ヒートポンプ給湯機（CO2冷媒）（太陽熱利用設備を使用しないもの）（エコキュート）</t>
    <phoneticPr fontId="11"/>
  </si>
  <si>
    <t>円/kWh以下</t>
    <rPh sb="0" eb="1">
      <t>エン</t>
    </rPh>
    <rPh sb="5" eb="7">
      <t>イカ</t>
    </rPh>
    <phoneticPr fontId="11"/>
  </si>
  <si>
    <t>別紙にある機器の１５種別から選択</t>
    <phoneticPr fontId="3"/>
  </si>
  <si>
    <t>該当する場合に記入</t>
    <rPh sb="0" eb="2">
      <t>ガイトウ</t>
    </rPh>
    <rPh sb="4" eb="6">
      <t>バアイ</t>
    </rPh>
    <rPh sb="7" eb="9">
      <t>キニュウ</t>
    </rPh>
    <phoneticPr fontId="3"/>
  </si>
  <si>
    <t>該当する場合に記入</t>
    <phoneticPr fontId="3"/>
  </si>
  <si>
    <t>(4)コージェネレーションシステム</t>
    <phoneticPr fontId="11"/>
  </si>
  <si>
    <t>(5)車載型蓄電池（電気自動車）</t>
    <rPh sb="3" eb="5">
      <t>シャサイ</t>
    </rPh>
    <rPh sb="5" eb="6">
      <t>ガタ</t>
    </rPh>
    <rPh sb="6" eb="9">
      <t>チクデンチ</t>
    </rPh>
    <rPh sb="10" eb="12">
      <t>デンキ</t>
    </rPh>
    <rPh sb="12" eb="15">
      <t>ジドウシャ</t>
    </rPh>
    <phoneticPr fontId="11"/>
  </si>
  <si>
    <t>(6)充放電設備</t>
    <rPh sb="3" eb="6">
      <t>ジュウホウデン</t>
    </rPh>
    <rPh sb="6" eb="8">
      <t>セツビ</t>
    </rPh>
    <phoneticPr fontId="11"/>
  </si>
  <si>
    <t>ブランド（メーカー）</t>
    <phoneticPr fontId="22"/>
  </si>
  <si>
    <t>車名</t>
    <rPh sb="0" eb="2">
      <t>シャメイ</t>
    </rPh>
    <phoneticPr fontId="22"/>
  </si>
  <si>
    <t>グレード</t>
    <phoneticPr fontId="22"/>
  </si>
  <si>
    <t>https://www.cev-pc.or.jp/</t>
    <phoneticPr fontId="3"/>
  </si>
  <si>
    <t>←一般社団法人次世代自動車振興センター</t>
    <rPh sb="7" eb="10">
      <t>ジセダイ</t>
    </rPh>
    <rPh sb="10" eb="13">
      <t>ジドウシャ</t>
    </rPh>
    <rPh sb="13" eb="15">
      <t>シンコウ</t>
    </rPh>
    <phoneticPr fontId="11"/>
  </si>
  <si>
    <t>kWh</t>
    <phoneticPr fontId="3"/>
  </si>
  <si>
    <r>
      <t>購入費</t>
    </r>
    <r>
      <rPr>
        <b/>
        <sz val="10"/>
        <color rgb="FFFF0000"/>
        <rFont val="ＭＳ Ｐゴシック"/>
        <family val="3"/>
        <charset val="128"/>
      </rPr>
      <t>（税抜）</t>
    </r>
    <r>
      <rPr>
        <sz val="10"/>
        <rFont val="ＭＳ Ｐゴシック"/>
        <family val="3"/>
        <charset val="128"/>
      </rPr>
      <t xml:space="preserve">
</t>
    </r>
    <rPh sb="0" eb="3">
      <t>コウニュウヒ</t>
    </rPh>
    <rPh sb="4" eb="5">
      <t>ゼイ</t>
    </rPh>
    <rPh sb="5" eb="6">
      <t>ヌ</t>
    </rPh>
    <phoneticPr fontId="11"/>
  </si>
  <si>
    <t>蓄電容量×1/2×40千円</t>
    <rPh sb="0" eb="2">
      <t>チクデン</t>
    </rPh>
    <rPh sb="2" eb="4">
      <t>ヨウリョウ</t>
    </rPh>
    <rPh sb="11" eb="13">
      <t>センエン</t>
    </rPh>
    <phoneticPr fontId="3"/>
  </si>
  <si>
    <t>車載型蓄電池（電気自動車）の補助対象費用（税抜）</t>
    <rPh sb="14" eb="16">
      <t>ホジョ</t>
    </rPh>
    <rPh sb="16" eb="18">
      <t>タイショウ</t>
    </rPh>
    <rPh sb="18" eb="20">
      <t>ヒヨウ</t>
    </rPh>
    <rPh sb="21" eb="22">
      <t>ゼイ</t>
    </rPh>
    <rPh sb="22" eb="23">
      <t>ヌ</t>
    </rPh>
    <phoneticPr fontId="11"/>
  </si>
  <si>
    <t>B</t>
    <phoneticPr fontId="11"/>
  </si>
  <si>
    <t>C</t>
    <phoneticPr fontId="11"/>
  </si>
  <si>
    <t>D</t>
    <phoneticPr fontId="11"/>
  </si>
  <si>
    <t>車載型蓄電池（電気自動車）の補助交付申請額
（蓄電容量×1/2×40千円（CEV補助金の「銘柄ごとの補助金交付額」上限）（85万円上限）(千円未満切り捨て)</t>
    <rPh sb="14" eb="16">
      <t>ホジョ</t>
    </rPh>
    <rPh sb="16" eb="18">
      <t>コウフ</t>
    </rPh>
    <rPh sb="18" eb="20">
      <t>シンセイ</t>
    </rPh>
    <rPh sb="20" eb="21">
      <t>ガク</t>
    </rPh>
    <rPh sb="23" eb="25">
      <t>チクデン</t>
    </rPh>
    <rPh sb="25" eb="27">
      <t>ヨウリョウ</t>
    </rPh>
    <rPh sb="34" eb="35">
      <t>チ</t>
    </rPh>
    <rPh sb="35" eb="36">
      <t>エン</t>
    </rPh>
    <rPh sb="57" eb="59">
      <t>ジョウゲン</t>
    </rPh>
    <rPh sb="63" eb="65">
      <t>マンエン</t>
    </rPh>
    <rPh sb="65" eb="67">
      <t>ジョウゲン</t>
    </rPh>
    <phoneticPr fontId="11"/>
  </si>
  <si>
    <t>車載型蓄電池（電気自動車）の補助交付申請額（再掲）</t>
    <rPh sb="14" eb="16">
      <t>ホジョ</t>
    </rPh>
    <rPh sb="16" eb="18">
      <t>コウフ</t>
    </rPh>
    <rPh sb="18" eb="20">
      <t>シンセイ</t>
    </rPh>
    <rPh sb="20" eb="21">
      <t>ガク</t>
    </rPh>
    <rPh sb="22" eb="24">
      <t>サイケイ</t>
    </rPh>
    <phoneticPr fontId="11"/>
  </si>
  <si>
    <t>充放電設備の補助交付申請額（再掲）</t>
    <rPh sb="6" eb="8">
      <t>ホジョ</t>
    </rPh>
    <rPh sb="8" eb="10">
      <t>コウフ</t>
    </rPh>
    <rPh sb="10" eb="12">
      <t>シンセイ</t>
    </rPh>
    <rPh sb="12" eb="13">
      <t>ガク</t>
    </rPh>
    <rPh sb="14" eb="16">
      <t>サイケイ</t>
    </rPh>
    <phoneticPr fontId="11"/>
  </si>
  <si>
    <t>メーカー名</t>
    <rPh sb="4" eb="5">
      <t>メイ</t>
    </rPh>
    <phoneticPr fontId="22"/>
  </si>
  <si>
    <t>型式</t>
    <rPh sb="0" eb="2">
      <t>カタシキ</t>
    </rPh>
    <phoneticPr fontId="22"/>
  </si>
  <si>
    <t>充電出力</t>
    <rPh sb="0" eb="2">
      <t>ジュウデン</t>
    </rPh>
    <rPh sb="2" eb="4">
      <t>シュツリョク</t>
    </rPh>
    <phoneticPr fontId="22"/>
  </si>
  <si>
    <r>
      <t>充放電設備の設備費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6" eb="9">
      <t>セツビヒ</t>
    </rPh>
    <rPh sb="10" eb="11">
      <t>ゼイ</t>
    </rPh>
    <rPh sb="11" eb="12">
      <t>ヌ</t>
    </rPh>
    <phoneticPr fontId="11"/>
  </si>
  <si>
    <r>
      <rPr>
        <sz val="9"/>
        <rFont val="ＭＳ Ｐゴシック"/>
        <family val="3"/>
        <charset val="128"/>
      </rPr>
      <t>充放電設備の設置工事費</t>
    </r>
    <r>
      <rPr>
        <b/>
        <sz val="10"/>
        <color rgb="FFFF0000"/>
        <rFont val="ＭＳ Ｐゴシック"/>
        <family val="3"/>
        <charset val="128"/>
      </rPr>
      <t>（税抜）</t>
    </r>
    <r>
      <rPr>
        <sz val="10"/>
        <rFont val="ＭＳ Ｐゴシック"/>
        <family val="3"/>
        <charset val="128"/>
      </rPr>
      <t xml:space="preserve">
　　・設計費
　　・工事費
　　・諸経費</t>
    </r>
    <rPh sb="6" eb="8">
      <t>セッチ</t>
    </rPh>
    <rPh sb="8" eb="10">
      <t>コウジ</t>
    </rPh>
    <phoneticPr fontId="11"/>
  </si>
  <si>
    <t>【補助対象経費判定】</t>
    <phoneticPr fontId="3"/>
  </si>
  <si>
    <t>充放電設備の補助対象費用（税抜）</t>
    <rPh sb="6" eb="8">
      <t>ホジョ</t>
    </rPh>
    <rPh sb="8" eb="10">
      <t>タイショウ</t>
    </rPh>
    <rPh sb="10" eb="12">
      <t>ヒヨウ</t>
    </rPh>
    <rPh sb="13" eb="14">
      <t>ゼイ</t>
    </rPh>
    <rPh sb="14" eb="15">
      <t>ヌ</t>
    </rPh>
    <phoneticPr fontId="11"/>
  </si>
  <si>
    <t>充放電設備の補助交付申請額
（「設備費」+「工事費」）×1/2(千円未満切り捨て)（150万円上限）</t>
    <rPh sb="6" eb="8">
      <t>ホジョ</t>
    </rPh>
    <rPh sb="8" eb="10">
      <t>コウフ</t>
    </rPh>
    <rPh sb="10" eb="12">
      <t>シンセイ</t>
    </rPh>
    <rPh sb="12" eb="13">
      <t>ガク</t>
    </rPh>
    <rPh sb="16" eb="19">
      <t>セツビヒ</t>
    </rPh>
    <rPh sb="22" eb="25">
      <t>コウジヒ</t>
    </rPh>
    <phoneticPr fontId="11"/>
  </si>
  <si>
    <t>高効率給湯器の補助交付申請額
（補助対象費用の２分の１(千円未満切り捨て)、20万円上限）</t>
    <rPh sb="0" eb="3">
      <t>コウコウリツ</t>
    </rPh>
    <rPh sb="3" eb="6">
      <t>キュウトウキ</t>
    </rPh>
    <rPh sb="7" eb="9">
      <t>ホジョ</t>
    </rPh>
    <rPh sb="9" eb="11">
      <t>コウフ</t>
    </rPh>
    <rPh sb="11" eb="13">
      <t>シンセイ</t>
    </rPh>
    <rPh sb="13" eb="14">
      <t>ガク</t>
    </rPh>
    <rPh sb="16" eb="18">
      <t>ホジョ</t>
    </rPh>
    <rPh sb="18" eb="20">
      <t>タイショウ</t>
    </rPh>
    <rPh sb="20" eb="22">
      <t>ヒヨウ</t>
    </rPh>
    <rPh sb="24" eb="25">
      <t>ブン</t>
    </rPh>
    <rPh sb="40" eb="42">
      <t>マンエン</t>
    </rPh>
    <rPh sb="42" eb="44">
      <t>ジョウゲン</t>
    </rPh>
    <phoneticPr fontId="11"/>
  </si>
  <si>
    <t>円（F＋G)</t>
    <phoneticPr fontId="3"/>
  </si>
  <si>
    <t>H</t>
    <phoneticPr fontId="3"/>
  </si>
  <si>
    <t>I</t>
    <phoneticPr fontId="3"/>
  </si>
  <si>
    <t>K</t>
    <phoneticPr fontId="11"/>
  </si>
  <si>
    <t>円（H - I)</t>
    <rPh sb="0" eb="1">
      <t>エン</t>
    </rPh>
    <phoneticPr fontId="11"/>
  </si>
  <si>
    <t>円</t>
    <rPh sb="0" eb="1">
      <t>エン</t>
    </rPh>
    <phoneticPr fontId="3"/>
  </si>
  <si>
    <t>I</t>
    <phoneticPr fontId="3"/>
  </si>
  <si>
    <t>J</t>
    <phoneticPr fontId="3"/>
  </si>
  <si>
    <t>K</t>
    <phoneticPr fontId="11"/>
  </si>
  <si>
    <t>L</t>
    <phoneticPr fontId="11"/>
  </si>
  <si>
    <t>M</t>
    <phoneticPr fontId="11"/>
  </si>
  <si>
    <t>円（G＋H)</t>
    <phoneticPr fontId="3"/>
  </si>
  <si>
    <t>円（G+H－J）</t>
    <rPh sb="0" eb="1">
      <t>エン</t>
    </rPh>
    <phoneticPr fontId="22"/>
  </si>
  <si>
    <t>円（K*1/3）</t>
    <rPh sb="0" eb="1">
      <t>エン</t>
    </rPh>
    <phoneticPr fontId="11"/>
  </si>
  <si>
    <t>F</t>
    <phoneticPr fontId="3"/>
  </si>
  <si>
    <t>G</t>
    <phoneticPr fontId="3"/>
  </si>
  <si>
    <t>H</t>
    <phoneticPr fontId="11"/>
  </si>
  <si>
    <t>I</t>
    <phoneticPr fontId="11"/>
  </si>
  <si>
    <t>円（D＋E－G)</t>
    <rPh sb="0" eb="1">
      <t>エン</t>
    </rPh>
    <phoneticPr fontId="11"/>
  </si>
  <si>
    <t>F</t>
    <phoneticPr fontId="3"/>
  </si>
  <si>
    <t>G</t>
    <phoneticPr fontId="3"/>
  </si>
  <si>
    <t>I</t>
    <phoneticPr fontId="11"/>
  </si>
  <si>
    <t>円（E+F）</t>
    <rPh sb="0" eb="1">
      <t>エン</t>
    </rPh>
    <phoneticPr fontId="3"/>
  </si>
  <si>
    <r>
      <t>費用合計</t>
    </r>
    <r>
      <rPr>
        <b/>
        <sz val="10"/>
        <color rgb="FFFF0000"/>
        <rFont val="ＭＳ Ｐゴシック"/>
        <family val="3"/>
        <charset val="128"/>
      </rPr>
      <t>（税抜）</t>
    </r>
    <rPh sb="0" eb="2">
      <t>ヒヨウ</t>
    </rPh>
    <rPh sb="2" eb="4">
      <t>ゴウケイ</t>
    </rPh>
    <phoneticPr fontId="3"/>
  </si>
  <si>
    <t>採用した見積書を発行した事業者（発注予定の事業者）</t>
    <rPh sb="0" eb="2">
      <t>サイヨウ</t>
    </rPh>
    <rPh sb="4" eb="7">
      <t>ミツモリショ</t>
    </rPh>
    <rPh sb="8" eb="10">
      <t>ハッコウ</t>
    </rPh>
    <rPh sb="12" eb="15">
      <t>ジギョウシャ</t>
    </rPh>
    <rPh sb="16" eb="18">
      <t>ハッチュウ</t>
    </rPh>
    <rPh sb="18" eb="20">
      <t>ヨテイ</t>
    </rPh>
    <rPh sb="21" eb="24">
      <t>ジギョウシャ</t>
    </rPh>
    <phoneticPr fontId="11"/>
  </si>
  <si>
    <t>蓄電容量</t>
    <rPh sb="2" eb="4">
      <t>ヨウリョウ</t>
    </rPh>
    <phoneticPr fontId="22"/>
  </si>
  <si>
    <r>
      <t>対象外経費</t>
    </r>
    <r>
      <rPr>
        <b/>
        <sz val="10"/>
        <color rgb="FFFF0000"/>
        <rFont val="ＭＳ Ｐゴシック"/>
        <family val="3"/>
        <charset val="128"/>
      </rPr>
      <t xml:space="preserve">（税抜）
</t>
    </r>
    <r>
      <rPr>
        <sz val="7"/>
        <rFont val="ＭＳ Ｐゴシック"/>
        <family val="3"/>
        <charset val="128"/>
      </rPr>
      <t>　・既設機器の撤去に係る費用（撤去した機器等の処理費を含む）
　・その他対象機器の購入・設置に要する費用とみなせない費用</t>
    </r>
    <rPh sb="0" eb="3">
      <t>タイショウガイ</t>
    </rPh>
    <rPh sb="3" eb="5">
      <t>ケイヒ</t>
    </rPh>
    <rPh sb="6" eb="8">
      <t>ゼイヌキ</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rPh sb="45" eb="46">
      <t>タ</t>
    </rPh>
    <rPh sb="68" eb="70">
      <t>ヒヨウ</t>
    </rPh>
    <phoneticPr fontId="3"/>
  </si>
  <si>
    <t>CEV補助金の「銘柄ごとの補助金交付額」表の表題</t>
    <rPh sb="3" eb="6">
      <t>ホジョキン</t>
    </rPh>
    <rPh sb="8" eb="10">
      <t>メイガラ</t>
    </rPh>
    <rPh sb="13" eb="16">
      <t>ホジョキン</t>
    </rPh>
    <rPh sb="16" eb="18">
      <t>コウフ</t>
    </rPh>
    <rPh sb="18" eb="19">
      <t>ガク</t>
    </rPh>
    <rPh sb="20" eb="21">
      <t>ヒョウ</t>
    </rPh>
    <rPh sb="22" eb="24">
      <t>ヒョウダイ</t>
    </rPh>
    <phoneticPr fontId="3"/>
  </si>
  <si>
    <t>F</t>
    <phoneticPr fontId="11"/>
  </si>
  <si>
    <t>G</t>
  </si>
  <si>
    <t>H</t>
  </si>
  <si>
    <t>I</t>
  </si>
  <si>
    <t>J</t>
  </si>
  <si>
    <t>K</t>
  </si>
  <si>
    <t>L</t>
  </si>
  <si>
    <t>M</t>
    <phoneticPr fontId="11"/>
  </si>
  <si>
    <t>円（I）</t>
    <rPh sb="0" eb="1">
      <t>エン</t>
    </rPh>
    <phoneticPr fontId="3"/>
  </si>
  <si>
    <t>円（J－K）</t>
    <rPh sb="0" eb="1">
      <t>エン</t>
    </rPh>
    <phoneticPr fontId="3"/>
  </si>
  <si>
    <t>経済産業省「クリーンエネルギー自動車導入促進補助金」（以下「ＣＥＶ補助金」という。）の「銘柄ごとの補助金交付額」</t>
    <rPh sb="0" eb="2">
      <t>ケイザイ</t>
    </rPh>
    <rPh sb="2" eb="5">
      <t>サンギョウショウ</t>
    </rPh>
    <rPh sb="15" eb="18">
      <t>ジドウシャ</t>
    </rPh>
    <rPh sb="18" eb="20">
      <t>ドウニュウ</t>
    </rPh>
    <rPh sb="20" eb="22">
      <t>ソクシン</t>
    </rPh>
    <rPh sb="22" eb="25">
      <t>ホジョキン</t>
    </rPh>
    <rPh sb="27" eb="29">
      <t>イカ</t>
    </rPh>
    <rPh sb="33" eb="36">
      <t>ホジョキン</t>
    </rPh>
    <rPh sb="44" eb="46">
      <t>メイガラ</t>
    </rPh>
    <rPh sb="49" eb="52">
      <t>ホジョキン</t>
    </rPh>
    <rPh sb="52" eb="54">
      <t>コウフ</t>
    </rPh>
    <rPh sb="54" eb="55">
      <t>ガク</t>
    </rPh>
    <phoneticPr fontId="3"/>
  </si>
  <si>
    <t>経済産業省「クリーンエネルギー自動車の普及促進に向けた充電・充てんインフラ等導入促進補助金」の「銘柄ごとの補助金交付額」の表題</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1" eb="63">
      <t>ヒョウダイ</t>
    </rPh>
    <phoneticPr fontId="3"/>
  </si>
  <si>
    <t>経済産業省「クリーンエネルギー自動車の普及促進に向けた充電・充てんインフラ等導入促進補助金」の「銘柄ごとの補助金交付額」の「当該機種の補助金交付上限額」</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2" eb="64">
      <t>トウガイ</t>
    </rPh>
    <rPh sb="64" eb="66">
      <t>キシュ</t>
    </rPh>
    <rPh sb="67" eb="70">
      <t>ホジョキン</t>
    </rPh>
    <rPh sb="70" eb="72">
      <t>コウフ</t>
    </rPh>
    <rPh sb="72" eb="75">
      <t>ジョウゲンガク</t>
    </rPh>
    <phoneticPr fontId="3"/>
  </si>
  <si>
    <t>E</t>
  </si>
  <si>
    <t>F</t>
  </si>
  <si>
    <t>K</t>
    <phoneticPr fontId="11"/>
  </si>
  <si>
    <t>円（F+G－I）</t>
    <rPh sb="0" eb="1">
      <t>エン</t>
    </rPh>
    <phoneticPr fontId="3"/>
  </si>
  <si>
    <t>充放電設備と接続して外部給電が可能であるか否か</t>
    <rPh sb="0" eb="3">
      <t>ジュウホウデン</t>
    </rPh>
    <rPh sb="3" eb="5">
      <t>セツビ</t>
    </rPh>
    <rPh sb="6" eb="8">
      <t>セツゾク</t>
    </rPh>
    <rPh sb="10" eb="12">
      <t>ガイブ</t>
    </rPh>
    <rPh sb="12" eb="14">
      <t>キュウデン</t>
    </rPh>
    <rPh sb="15" eb="17">
      <t>カノウ</t>
    </rPh>
    <rPh sb="21" eb="22">
      <t>イナ</t>
    </rPh>
    <phoneticPr fontId="3"/>
  </si>
  <si>
    <t>千円</t>
    <rPh sb="0" eb="2">
      <t>センエン</t>
    </rPh>
    <phoneticPr fontId="3"/>
  </si>
  <si>
    <t>kW</t>
    <phoneticPr fontId="3"/>
  </si>
  <si>
    <t>https://zehweb.jp/registration/battery/</t>
    <phoneticPr fontId="11"/>
  </si>
  <si>
    <t>千円</t>
    <rPh sb="0" eb="2">
      <t>センエン</t>
    </rPh>
    <phoneticPr fontId="3"/>
  </si>
  <si>
    <t>手続代行者法人名</t>
    <rPh sb="2" eb="4">
      <t>ダイコウ</t>
    </rPh>
    <rPh sb="4" eb="5">
      <t>シャ</t>
    </rPh>
    <rPh sb="5" eb="7">
      <t>ホウジン</t>
    </rPh>
    <rPh sb="7" eb="8">
      <t>メイ</t>
    </rPh>
    <phoneticPr fontId="11"/>
  </si>
  <si>
    <t>担当者氏名</t>
    <phoneticPr fontId="3"/>
  </si>
  <si>
    <t>該当する場合に記入</t>
    <phoneticPr fontId="3"/>
  </si>
  <si>
    <t>領収書についての確認事項
①工事完了後の実績報告兼請求の際には「申請者宛ての領収書の写し」の提出が必要であること。
②申請者宛ての領収書が発行されないケースのうち申請者から販売事業者等へ口座振替等による支払いを行った場合は、口座振替支払い依頼書の控えやインターネットの送金履歴など申請者から販売事業者等への支払いの事実を確認できる書類の写しを代わりに提出する必要があること。
③申請者宛ての領収書が発行されないケースのうちローン会社から申請者を介さず直接販売事業者等に支払う方式のローン払い等であるため申請者から販売事業者等へ支払いを行わない場合は、「実績報告兼請求日までに販売事業者等から申請者へ所有権が移転していること」及び「申請者がローンを返済できないときに所有権の移転等が起こりえない契約となっていること」を確認できる書類の写しを代わりに提出する必要があること。</t>
    <rPh sb="0" eb="3">
      <t>リョウシュウショ</t>
    </rPh>
    <rPh sb="8" eb="10">
      <t>カクニン</t>
    </rPh>
    <rPh sb="10" eb="12">
      <t>ジコウ</t>
    </rPh>
    <rPh sb="15" eb="17">
      <t>コウジ</t>
    </rPh>
    <rPh sb="17" eb="19">
      <t>カンリョウ</t>
    </rPh>
    <rPh sb="19" eb="20">
      <t>ゴ</t>
    </rPh>
    <rPh sb="21" eb="23">
      <t>ジッセキ</t>
    </rPh>
    <rPh sb="23" eb="25">
      <t>ホウコク</t>
    </rPh>
    <rPh sb="25" eb="26">
      <t>ケン</t>
    </rPh>
    <rPh sb="26" eb="28">
      <t>セイキュウ</t>
    </rPh>
    <rPh sb="29" eb="30">
      <t>サイ</t>
    </rPh>
    <rPh sb="47" eb="49">
      <t>テイシュツ</t>
    </rPh>
    <rPh sb="50" eb="52">
      <t>ヒツヨウ</t>
    </rPh>
    <rPh sb="83" eb="86">
      <t>シンセイシャ</t>
    </rPh>
    <rPh sb="88" eb="90">
      <t>ハンバイ</t>
    </rPh>
    <rPh sb="90" eb="92">
      <t>ジギョウ</t>
    </rPh>
    <rPh sb="92" eb="93">
      <t>シャ</t>
    </rPh>
    <rPh sb="93" eb="94">
      <t>トウ</t>
    </rPh>
    <rPh sb="95" eb="97">
      <t>コウザ</t>
    </rPh>
    <rPh sb="97" eb="99">
      <t>フリカエ</t>
    </rPh>
    <rPh sb="99" eb="100">
      <t>トウ</t>
    </rPh>
    <rPh sb="103" eb="105">
      <t>シハラ</t>
    </rPh>
    <rPh sb="107" eb="108">
      <t>オコナ</t>
    </rPh>
    <rPh sb="110" eb="112">
      <t>バアイ</t>
    </rPh>
    <rPh sb="142" eb="145">
      <t>シンセイシャ</t>
    </rPh>
    <rPh sb="167" eb="169">
      <t>ショルイ</t>
    </rPh>
    <rPh sb="170" eb="171">
      <t>ウツ</t>
    </rPh>
    <rPh sb="173" eb="174">
      <t>カ</t>
    </rPh>
    <rPh sb="177" eb="179">
      <t>テイシュツ</t>
    </rPh>
    <rPh sb="181" eb="183">
      <t>ヒツヨウ</t>
    </rPh>
    <rPh sb="217" eb="219">
      <t>ガイシャ</t>
    </rPh>
    <rPh sb="221" eb="224">
      <t>シンセイシャ</t>
    </rPh>
    <rPh sb="225" eb="226">
      <t>カイ</t>
    </rPh>
    <rPh sb="228" eb="230">
      <t>チョクセツ</t>
    </rPh>
    <rPh sb="230" eb="232">
      <t>ハンバイ</t>
    </rPh>
    <rPh sb="232" eb="234">
      <t>ジギョウ</t>
    </rPh>
    <rPh sb="234" eb="235">
      <t>シャ</t>
    </rPh>
    <rPh sb="235" eb="236">
      <t>トウ</t>
    </rPh>
    <rPh sb="237" eb="239">
      <t>シハラ</t>
    </rPh>
    <rPh sb="240" eb="242">
      <t>ホウシキ</t>
    </rPh>
    <rPh sb="246" eb="247">
      <t>バラ</t>
    </rPh>
    <rPh sb="248" eb="249">
      <t>トウ</t>
    </rPh>
    <rPh sb="254" eb="257">
      <t>シンセイシャ</t>
    </rPh>
    <rPh sb="259" eb="261">
      <t>ハンバイ</t>
    </rPh>
    <rPh sb="261" eb="263">
      <t>ジギョウ</t>
    </rPh>
    <rPh sb="263" eb="264">
      <t>シャ</t>
    </rPh>
    <rPh sb="264" eb="265">
      <t>トウ</t>
    </rPh>
    <rPh sb="266" eb="268">
      <t>シハラ</t>
    </rPh>
    <rPh sb="270" eb="271">
      <t>オコナ</t>
    </rPh>
    <rPh sb="274" eb="276">
      <t>バアイ</t>
    </rPh>
    <rPh sb="279" eb="281">
      <t>ジッセキ</t>
    </rPh>
    <rPh sb="281" eb="283">
      <t>ホウコク</t>
    </rPh>
    <rPh sb="283" eb="284">
      <t>ケン</t>
    </rPh>
    <rPh sb="284" eb="286">
      <t>セイキュウ</t>
    </rPh>
    <rPh sb="286" eb="287">
      <t>ビ</t>
    </rPh>
    <rPh sb="290" eb="292">
      <t>ハンバイ</t>
    </rPh>
    <rPh sb="292" eb="294">
      <t>ジギョウ</t>
    </rPh>
    <rPh sb="294" eb="295">
      <t>シャ</t>
    </rPh>
    <rPh sb="295" eb="296">
      <t>トウ</t>
    </rPh>
    <rPh sb="298" eb="301">
      <t>シンセイシャ</t>
    </rPh>
    <rPh sb="302" eb="305">
      <t>ショユウケン</t>
    </rPh>
    <rPh sb="306" eb="308">
      <t>イテン</t>
    </rPh>
    <rPh sb="315" eb="316">
      <t>オヨ</t>
    </rPh>
    <rPh sb="318" eb="321">
      <t>シンセイシャ</t>
    </rPh>
    <rPh sb="326" eb="328">
      <t>ヘンサイ</t>
    </rPh>
    <rPh sb="335" eb="338">
      <t>ショユウケン</t>
    </rPh>
    <rPh sb="339" eb="341">
      <t>イテン</t>
    </rPh>
    <rPh sb="341" eb="342">
      <t>トウ</t>
    </rPh>
    <rPh sb="343" eb="344">
      <t>オ</t>
    </rPh>
    <rPh sb="349" eb="351">
      <t>ケイヤク</t>
    </rPh>
    <rPh sb="366" eb="368">
      <t>ショルイ</t>
    </rPh>
    <rPh sb="369" eb="370">
      <t>ウツ</t>
    </rPh>
    <phoneticPr fontId="11"/>
  </si>
  <si>
    <r>
      <t>太陽光発電設備の補助交付申請額</t>
    </r>
    <r>
      <rPr>
        <b/>
        <sz val="10"/>
        <rFont val="ＭＳ Ｐゴシック"/>
        <family val="3"/>
        <charset val="128"/>
      </rPr>
      <t>（ベース分）</t>
    </r>
    <r>
      <rPr>
        <sz val="10"/>
        <rFont val="ＭＳ Ｐゴシック"/>
        <family val="3"/>
        <charset val="128"/>
      </rPr>
      <t xml:space="preserve">
</t>
    </r>
    <r>
      <rPr>
        <sz val="8"/>
        <rFont val="ＭＳ Ｐゴシック"/>
        <family val="3"/>
        <charset val="128"/>
      </rPr>
      <t>（発電出力に１kW当たり７万円を乗じて得た額と補助対象経費のいずれか小さい額(千円未満切り捨て)、35万円上限）</t>
    </r>
    <rPh sb="0" eb="3">
      <t>タイヨウコウ</t>
    </rPh>
    <rPh sb="3" eb="5">
      <t>ハツデン</t>
    </rPh>
    <rPh sb="5" eb="7">
      <t>セツビ</t>
    </rPh>
    <rPh sb="8" eb="10">
      <t>ホジョ</t>
    </rPh>
    <rPh sb="10" eb="12">
      <t>コウフ</t>
    </rPh>
    <rPh sb="12" eb="14">
      <t>シンセイ</t>
    </rPh>
    <rPh sb="14" eb="15">
      <t>ガク</t>
    </rPh>
    <rPh sb="19" eb="20">
      <t>ブン</t>
    </rPh>
    <rPh sb="45" eb="47">
      <t>ホジョ</t>
    </rPh>
    <rPh sb="47" eb="49">
      <t>タイショウ</t>
    </rPh>
    <rPh sb="49" eb="51">
      <t>ケイヒ</t>
    </rPh>
    <rPh sb="56" eb="57">
      <t>チイ</t>
    </rPh>
    <rPh sb="59" eb="60">
      <t>ガク</t>
    </rPh>
    <rPh sb="61" eb="63">
      <t>センエン</t>
    </rPh>
    <rPh sb="63" eb="65">
      <t>ミマン</t>
    </rPh>
    <rPh sb="65" eb="66">
      <t>キ</t>
    </rPh>
    <rPh sb="67" eb="68">
      <t>ス</t>
    </rPh>
    <rPh sb="73" eb="75">
      <t>マンエン</t>
    </rPh>
    <rPh sb="75" eb="77">
      <t>ジョウゲン</t>
    </rPh>
    <phoneticPr fontId="11"/>
  </si>
  <si>
    <r>
      <t>太陽光発電設備の補助交付申請額</t>
    </r>
    <r>
      <rPr>
        <b/>
        <sz val="10"/>
        <rFont val="ＭＳ Ｐゴシック"/>
        <family val="3"/>
        <charset val="128"/>
      </rPr>
      <t>（協調補助分）</t>
    </r>
    <r>
      <rPr>
        <sz val="10"/>
        <rFont val="ＭＳ Ｐゴシック"/>
        <family val="3"/>
        <charset val="128"/>
      </rPr>
      <t xml:space="preserve">
</t>
    </r>
    <r>
      <rPr>
        <sz val="8"/>
        <rFont val="ＭＳ Ｐゴシック"/>
        <family val="3"/>
        <charset val="128"/>
      </rPr>
      <t>（発電出力に１kW当たり4万円を乗じて得た額と補助対象経費のいずれか小さい額(千円未満切り捨て)、20万円上限）</t>
    </r>
    <rPh sb="0" eb="3">
      <t>タイヨウコウ</t>
    </rPh>
    <rPh sb="3" eb="5">
      <t>ハツデン</t>
    </rPh>
    <rPh sb="5" eb="7">
      <t>セツビ</t>
    </rPh>
    <rPh sb="8" eb="10">
      <t>ホジョ</t>
    </rPh>
    <rPh sb="10" eb="12">
      <t>コウフ</t>
    </rPh>
    <rPh sb="12" eb="14">
      <t>シンセイ</t>
    </rPh>
    <rPh sb="14" eb="15">
      <t>ガク</t>
    </rPh>
    <rPh sb="16" eb="18">
      <t>キョウチョウ</t>
    </rPh>
    <rPh sb="18" eb="20">
      <t>ホジョ</t>
    </rPh>
    <rPh sb="20" eb="21">
      <t>ブン</t>
    </rPh>
    <rPh sb="46" eb="48">
      <t>ホジョ</t>
    </rPh>
    <rPh sb="48" eb="50">
      <t>タイショウ</t>
    </rPh>
    <rPh sb="50" eb="52">
      <t>ケイヒ</t>
    </rPh>
    <rPh sb="57" eb="58">
      <t>チイ</t>
    </rPh>
    <rPh sb="60" eb="61">
      <t>ガク</t>
    </rPh>
    <rPh sb="62" eb="64">
      <t>センエン</t>
    </rPh>
    <rPh sb="64" eb="66">
      <t>ミマン</t>
    </rPh>
    <rPh sb="66" eb="67">
      <t>キ</t>
    </rPh>
    <rPh sb="68" eb="69">
      <t>ス</t>
    </rPh>
    <rPh sb="74" eb="76">
      <t>マンエン</t>
    </rPh>
    <rPh sb="76" eb="78">
      <t>ジョウゲン</t>
    </rPh>
    <phoneticPr fontId="11"/>
  </si>
  <si>
    <t>L</t>
    <phoneticPr fontId="11"/>
  </si>
  <si>
    <t>太陽光発電設備の補助交付申請額（ベース分）（再掲）</t>
    <rPh sb="0" eb="3">
      <t>タイヨウコウ</t>
    </rPh>
    <rPh sb="3" eb="5">
      <t>ハツデン</t>
    </rPh>
    <rPh sb="5" eb="7">
      <t>セツビ</t>
    </rPh>
    <rPh sb="8" eb="10">
      <t>ホジョ</t>
    </rPh>
    <rPh sb="10" eb="12">
      <t>コウフ</t>
    </rPh>
    <rPh sb="12" eb="14">
      <t>シンセイ</t>
    </rPh>
    <rPh sb="14" eb="15">
      <t>ガク</t>
    </rPh>
    <rPh sb="19" eb="20">
      <t>ブン</t>
    </rPh>
    <rPh sb="22" eb="24">
      <t>サイケイ</t>
    </rPh>
    <phoneticPr fontId="11"/>
  </si>
  <si>
    <t>H</t>
    <phoneticPr fontId="11"/>
  </si>
  <si>
    <t>I</t>
    <phoneticPr fontId="11"/>
  </si>
  <si>
    <t>円（A+C+D+E+F+G)</t>
    <rPh sb="0" eb="1">
      <t>エン</t>
    </rPh>
    <phoneticPr fontId="22"/>
  </si>
  <si>
    <t>円（B)</t>
    <rPh sb="0" eb="1">
      <t>エン</t>
    </rPh>
    <phoneticPr fontId="22"/>
  </si>
  <si>
    <t>太陽光発電設備の補助交付申請額（協調補助分）（再掲）</t>
    <rPh sb="0" eb="3">
      <t>タイヨウコウ</t>
    </rPh>
    <rPh sb="3" eb="5">
      <t>ハツデン</t>
    </rPh>
    <rPh sb="5" eb="7">
      <t>セツビ</t>
    </rPh>
    <rPh sb="8" eb="10">
      <t>ホジョ</t>
    </rPh>
    <rPh sb="10" eb="12">
      <t>コウフ</t>
    </rPh>
    <rPh sb="12" eb="14">
      <t>シンセイ</t>
    </rPh>
    <rPh sb="14" eb="15">
      <t>ガク</t>
    </rPh>
    <rPh sb="16" eb="18">
      <t>キョウチョウ</t>
    </rPh>
    <rPh sb="18" eb="20">
      <t>ホジョ</t>
    </rPh>
    <rPh sb="20" eb="21">
      <t>ブン</t>
    </rPh>
    <rPh sb="23" eb="25">
      <t>サイケイ</t>
    </rPh>
    <phoneticPr fontId="11"/>
  </si>
  <si>
    <t>円（A+B+C+D+E+F+G)</t>
    <rPh sb="0" eb="1">
      <t>エン</t>
    </rPh>
    <phoneticPr fontId="22"/>
  </si>
  <si>
    <t>　（内訳）補助交付申請額合計　ベース分</t>
    <rPh sb="2" eb="4">
      <t>ウチワケ</t>
    </rPh>
    <rPh sb="5" eb="7">
      <t>ホジョ</t>
    </rPh>
    <rPh sb="7" eb="9">
      <t>コウフ</t>
    </rPh>
    <rPh sb="9" eb="11">
      <t>シンセイ</t>
    </rPh>
    <rPh sb="11" eb="12">
      <t>ガク</t>
    </rPh>
    <rPh sb="12" eb="14">
      <t>ゴウケイ</t>
    </rPh>
    <rPh sb="18" eb="19">
      <t>ブン</t>
    </rPh>
    <phoneticPr fontId="11"/>
  </si>
  <si>
    <t>　（内訳）補助交付申請額合計　協調補助分</t>
    <rPh sb="2" eb="4">
      <t>ウチワケ</t>
    </rPh>
    <rPh sb="5" eb="7">
      <t>ホジョ</t>
    </rPh>
    <rPh sb="7" eb="9">
      <t>コウフ</t>
    </rPh>
    <rPh sb="9" eb="11">
      <t>シンセイ</t>
    </rPh>
    <rPh sb="11" eb="12">
      <t>ガク</t>
    </rPh>
    <rPh sb="12" eb="14">
      <t>ゴウケイ</t>
    </rPh>
    <rPh sb="15" eb="17">
      <t>キョウチョウ</t>
    </rPh>
    <rPh sb="17" eb="19">
      <t>ホジョ</t>
    </rPh>
    <rPh sb="19" eb="20">
      <t>ブン</t>
    </rPh>
    <phoneticPr fontId="11"/>
  </si>
  <si>
    <t>J</t>
    <phoneticPr fontId="11"/>
  </si>
  <si>
    <t>1kWhあたりの費用効率性の基準
（家庭用（電気容量が4,800Ah・セル未満）⇒12.5 万円/kWh以下・事業用（電気容量が4,800Ah・セル以上）⇒11.9万円/kWh以下）　</t>
    <rPh sb="8" eb="10">
      <t>ヒヨウ</t>
    </rPh>
    <rPh sb="10" eb="13">
      <t>コウリツセイ</t>
    </rPh>
    <rPh sb="14" eb="16">
      <t>キジュン</t>
    </rPh>
    <phoneticPr fontId="22"/>
  </si>
  <si>
    <r>
      <t xml:space="preserve">円/kWh（K÷B）
</t>
    </r>
    <r>
      <rPr>
        <b/>
        <sz val="9"/>
        <color rgb="FFFF0000"/>
        <rFont val="ＭＳ Ｐゴシック"/>
        <family val="3"/>
        <charset val="128"/>
      </rPr>
      <t>※E以下となるように努めなければならない</t>
    </r>
    <rPh sb="13" eb="15">
      <t>イカ</t>
    </rPh>
    <rPh sb="21" eb="22">
      <t>ツト</t>
    </rPh>
    <phoneticPr fontId="11"/>
  </si>
  <si>
    <t>N</t>
    <phoneticPr fontId="11"/>
  </si>
  <si>
    <t>O</t>
    <phoneticPr fontId="26"/>
  </si>
  <si>
    <t>(計画（変更・中止）承認申請時に提出）</t>
    <rPh sb="1" eb="3">
      <t>ケイカク</t>
    </rPh>
    <rPh sb="4" eb="6">
      <t>ヘンコウ</t>
    </rPh>
    <rPh sb="7" eb="9">
      <t>チュウシ</t>
    </rPh>
    <rPh sb="10" eb="15">
      <t>ショウニンシンセイジ</t>
    </rPh>
    <rPh sb="16" eb="18">
      <t>テイシュツ</t>
    </rPh>
    <phoneticPr fontId="3"/>
  </si>
  <si>
    <t>　</t>
    <phoneticPr fontId="3"/>
  </si>
  <si>
    <t>円（F,L,75万円のうち最小のもの）</t>
    <rPh sb="0" eb="1">
      <t>エン</t>
    </rPh>
    <phoneticPr fontId="22"/>
  </si>
  <si>
    <t>蓄電池の補助交付申請額
（補助対象費用の３分の１。定格容量×51,000円が上限。75万円が上限。）(千円未満切り捨て)</t>
    <rPh sb="0" eb="3">
      <t>チクデンチ</t>
    </rPh>
    <rPh sb="4" eb="6">
      <t>ホジョ</t>
    </rPh>
    <rPh sb="6" eb="8">
      <t>コウフ</t>
    </rPh>
    <rPh sb="8" eb="10">
      <t>シンセイ</t>
    </rPh>
    <rPh sb="10" eb="11">
      <t>ガク</t>
    </rPh>
    <rPh sb="13" eb="15">
      <t>ホジョ</t>
    </rPh>
    <rPh sb="15" eb="17">
      <t>タイショウ</t>
    </rPh>
    <rPh sb="17" eb="19">
      <t>ヒヨウ</t>
    </rPh>
    <rPh sb="21" eb="22">
      <t>ブン</t>
    </rPh>
    <rPh sb="25" eb="27">
      <t>テイカク</t>
    </rPh>
    <rPh sb="27" eb="29">
      <t>ヨウリョウ</t>
    </rPh>
    <rPh sb="36" eb="37">
      <t>エン</t>
    </rPh>
    <rPh sb="38" eb="40">
      <t>ジョウゲン</t>
    </rPh>
    <rPh sb="43" eb="45">
      <t>マンエン</t>
    </rPh>
    <rPh sb="46" eb="48">
      <t>ジョウゲン</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</si>
</sst>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_);[Red]\(#,##0.0\)"/>
    <numFmt numFmtId="178" formatCode="#,##0.00_);[Red]\(#,##0.00\)"/>
    <numFmt numFmtId="179" formatCode="0.00_ "/>
  </numFmts>
  <fonts count="39">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6"/>
      <name val="ＭＳ Ｐゴシック"/>
      <family val="2"/>
      <charset val="128"/>
    </font>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6"/>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11"/>
      <color indexed="13"/>
      <name val="ＭＳ Ｐゴシック"/>
      <family val="3"/>
      <charset val="128"/>
    </font>
    <font>
      <u/>
      <sz val="11"/>
      <color theme="10"/>
      <name val="ＭＳ Ｐゴシック"/>
      <family val="2"/>
      <charset val="128"/>
    </font>
    <font>
      <sz val="11"/>
      <color rgb="FF7030A0"/>
      <name val="ＭＳ Ｐゴシック"/>
      <family val="3"/>
      <charset val="128"/>
    </font>
    <font>
      <sz val="10"/>
      <color rgb="FF7030A0"/>
      <name val="ＭＳ Ｐゴシック"/>
      <family val="3"/>
      <charset val="128"/>
    </font>
    <font>
      <b/>
      <sz val="9"/>
      <color rgb="FFFF0000"/>
      <name val="ＭＳ Ｐゴシック"/>
      <family val="3"/>
      <charset val="128"/>
    </font>
    <font>
      <sz val="12"/>
      <color indexed="81"/>
      <name val="ＭＳ Ｐゴシック"/>
      <family val="3"/>
      <charset val="128"/>
    </font>
    <font>
      <sz val="12"/>
      <name val="Arial Unicode MS"/>
      <family val="3"/>
      <charset val="128"/>
    </font>
    <font>
      <sz val="16"/>
      <color theme="1"/>
      <name val="ＭＳ ゴシック"/>
      <family val="3"/>
      <charset val="128"/>
    </font>
    <font>
      <sz val="7"/>
      <name val="ＭＳ Ｐゴシック"/>
      <family val="3"/>
      <charset val="128"/>
    </font>
    <font>
      <b/>
      <sz val="8"/>
      <color rgb="FFFFFF00"/>
      <name val="ＭＳ Ｐゴシック"/>
      <family val="3"/>
      <charset val="128"/>
    </font>
    <font>
      <b/>
      <sz val="10"/>
      <name val="ＭＳ Ｐゴシック"/>
      <family val="3"/>
      <charset val="128"/>
    </font>
    <font>
      <sz val="11"/>
      <color rgb="FF0070C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9">
    <xf numFmtId="0" fontId="0" fillId="0" borderId="0">
      <alignment vertical="center"/>
    </xf>
    <xf numFmtId="0" fontId="2" fillId="0" borderId="0">
      <alignment vertical="center"/>
    </xf>
    <xf numFmtId="0" fontId="12" fillId="0" borderId="0"/>
    <xf numFmtId="0" fontId="18" fillId="0" borderId="0">
      <alignment vertical="center"/>
    </xf>
    <xf numFmtId="0" fontId="28"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0" fontId="12" fillId="0" borderId="0">
      <alignment vertical="center"/>
    </xf>
    <xf numFmtId="0" fontId="3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2" fillId="0" borderId="0" xfId="1" applyFont="1" applyProtection="1">
      <alignment vertical="center"/>
    </xf>
    <xf numFmtId="0" fontId="2" fillId="0" borderId="0" xfId="1" applyFont="1" applyAlignment="1" applyProtection="1">
      <alignment horizontal="center" vertical="center"/>
    </xf>
    <xf numFmtId="0" fontId="4" fillId="0" borderId="0" xfId="1" applyFont="1" applyProtection="1">
      <alignment vertical="center"/>
    </xf>
    <xf numFmtId="176" fontId="5" fillId="0" borderId="0" xfId="1" applyNumberFormat="1" applyFont="1" applyAlignment="1" applyProtection="1">
      <alignment vertical="center" shrinkToFit="1"/>
    </xf>
    <xf numFmtId="0" fontId="6" fillId="0" borderId="0" xfId="1" applyFont="1" applyProtection="1">
      <alignment vertical="center"/>
    </xf>
    <xf numFmtId="0" fontId="2" fillId="0" borderId="0" xfId="1" applyFont="1" applyAlignment="1" applyProtection="1">
      <alignment vertical="center"/>
    </xf>
    <xf numFmtId="0" fontId="7" fillId="0" borderId="0" xfId="1" applyFont="1" applyProtection="1">
      <alignment vertical="center"/>
    </xf>
    <xf numFmtId="176" fontId="10" fillId="0" borderId="0" xfId="1" applyNumberFormat="1" applyFont="1" applyProtection="1">
      <alignment vertical="center"/>
    </xf>
    <xf numFmtId="0" fontId="5" fillId="0" borderId="0" xfId="1" applyFont="1" applyProtection="1">
      <alignmen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3" fillId="0" borderId="0" xfId="2" applyFont="1" applyAlignment="1" applyProtection="1">
      <alignment horizontal="left" vertical="top" wrapText="1"/>
    </xf>
    <xf numFmtId="0" fontId="16" fillId="3" borderId="1" xfId="2" applyFont="1" applyFill="1" applyBorder="1" applyAlignment="1" applyProtection="1">
      <alignment horizontal="left" vertical="center" wrapText="1"/>
      <protection locked="0"/>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Alignment="1" applyProtection="1"/>
    <xf numFmtId="0" fontId="7" fillId="0" borderId="0" xfId="1" applyFont="1" applyBorder="1" applyAlignment="1" applyProtection="1">
      <alignment horizontal="center" vertical="center" wrapText="1"/>
    </xf>
    <xf numFmtId="0" fontId="14" fillId="4" borderId="0" xfId="2" applyFont="1" applyFill="1" applyBorder="1" applyAlignment="1" applyProtection="1">
      <alignment horizontal="right" vertical="center" wrapText="1" indent="1"/>
    </xf>
    <xf numFmtId="0" fontId="16" fillId="0" borderId="0" xfId="2" applyFont="1" applyFill="1" applyBorder="1" applyAlignment="1" applyProtection="1">
      <alignment horizontal="left" vertical="center" wrapText="1" shrinkToFit="1"/>
    </xf>
    <xf numFmtId="0" fontId="17" fillId="4" borderId="0" xfId="2" applyFont="1" applyFill="1" applyAlignment="1" applyProtection="1">
      <alignment horizontal="left" vertical="center" wrapText="1"/>
    </xf>
    <xf numFmtId="0" fontId="20" fillId="4" borderId="0" xfId="2" applyFont="1" applyFill="1" applyAlignment="1" applyProtection="1">
      <alignment horizontal="left" vertical="center" wrapText="1"/>
    </xf>
    <xf numFmtId="0" fontId="13" fillId="0" borderId="0" xfId="1" applyFont="1" applyProtection="1">
      <alignment vertical="center"/>
    </xf>
    <xf numFmtId="0" fontId="16" fillId="0" borderId="0" xfId="1" applyFont="1" applyAlignment="1" applyProtection="1">
      <alignment vertical="center" wrapText="1"/>
    </xf>
    <xf numFmtId="0" fontId="13" fillId="0" borderId="0" xfId="1" applyFont="1" applyAlignment="1" applyProtection="1">
      <alignment horizontal="left" vertical="center" wrapText="1"/>
    </xf>
    <xf numFmtId="0" fontId="14" fillId="0" borderId="0" xfId="1" applyFont="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178" fontId="14" fillId="3" borderId="1" xfId="1" applyNumberFormat="1" applyFont="1" applyFill="1" applyBorder="1" applyAlignment="1" applyProtection="1">
      <alignment horizontal="center" vertical="center" shrinkToFit="1"/>
      <protection locked="0"/>
    </xf>
    <xf numFmtId="0" fontId="5" fillId="0" borderId="0" xfId="1" applyFont="1" applyFill="1" applyBorder="1" applyProtection="1">
      <alignment vertical="center"/>
    </xf>
    <xf numFmtId="0" fontId="7" fillId="0" borderId="2" xfId="1" applyFont="1" applyBorder="1" applyAlignment="1" applyProtection="1">
      <alignment horizontal="center" vertical="center" wrapText="1"/>
    </xf>
    <xf numFmtId="0" fontId="16" fillId="0" borderId="0" xfId="1" applyFont="1" applyFill="1" applyBorder="1" applyAlignment="1" applyProtection="1">
      <alignment horizontal="left" vertical="center" wrapText="1"/>
    </xf>
    <xf numFmtId="178" fontId="14"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0" fontId="13" fillId="0" borderId="0" xfId="2" applyFont="1" applyAlignment="1" applyProtection="1">
      <alignment horizontal="left" vertical="top"/>
    </xf>
    <xf numFmtId="0" fontId="16" fillId="4" borderId="0" xfId="2" applyFont="1" applyFill="1" applyBorder="1" applyAlignment="1" applyProtection="1">
      <alignment horizontal="left" vertical="center" wrapText="1" shrinkToFit="1"/>
    </xf>
    <xf numFmtId="178" fontId="23" fillId="3" borderId="3" xfId="1" applyNumberFormat="1" applyFont="1" applyFill="1" applyBorder="1" applyAlignment="1" applyProtection="1">
      <alignment horizontal="center" vertical="center" wrapText="1"/>
      <protection locked="0"/>
    </xf>
    <xf numFmtId="179" fontId="14" fillId="3" borderId="3" xfId="1" applyNumberFormat="1" applyFont="1" applyFill="1" applyBorder="1" applyAlignment="1" applyProtection="1">
      <alignment horizontal="center" vertical="center" shrinkToFit="1"/>
      <protection locked="0"/>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176" fontId="14" fillId="3" borderId="3" xfId="1" applyNumberFormat="1" applyFont="1" applyFill="1" applyBorder="1" applyAlignment="1" applyProtection="1">
      <alignment horizontal="center" vertical="center" shrinkToFit="1"/>
      <protection locked="0"/>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176" fontId="14" fillId="0" borderId="0" xfId="1" applyNumberFormat="1" applyFont="1" applyFill="1" applyBorder="1" applyAlignment="1" applyProtection="1">
      <alignment horizontal="center" vertical="center"/>
    </xf>
    <xf numFmtId="178" fontId="14" fillId="3" borderId="3" xfId="1" applyNumberFormat="1" applyFont="1" applyFill="1" applyBorder="1" applyAlignment="1" applyProtection="1">
      <alignment horizontal="center" vertical="center" shrinkToFit="1"/>
      <protection locked="0"/>
    </xf>
    <xf numFmtId="178" fontId="14" fillId="3" borderId="3" xfId="1" applyNumberFormat="1" applyFont="1" applyFill="1" applyBorder="1" applyAlignment="1" applyProtection="1">
      <alignment horizontal="center" vertical="center"/>
      <protection locked="0"/>
    </xf>
    <xf numFmtId="177" fontId="17" fillId="2" borderId="1" xfId="1" applyNumberFormat="1" applyFont="1" applyFill="1" applyBorder="1" applyAlignment="1" applyProtection="1">
      <alignment vertical="center" wrapText="1"/>
    </xf>
    <xf numFmtId="0" fontId="27" fillId="0" borderId="0" xfId="1" applyFont="1" applyProtection="1">
      <alignment vertical="center"/>
    </xf>
    <xf numFmtId="0" fontId="29" fillId="0" borderId="0" xfId="1" applyFont="1" applyProtection="1">
      <alignment vertical="center"/>
    </xf>
    <xf numFmtId="0" fontId="2" fillId="0" borderId="1" xfId="1" applyFont="1" applyBorder="1" applyProtection="1">
      <alignment vertical="center"/>
    </xf>
    <xf numFmtId="0" fontId="19" fillId="0" borderId="0" xfId="1" applyFont="1" applyAlignment="1">
      <alignment horizontal="left" vertical="center" wrapText="1"/>
    </xf>
    <xf numFmtId="0" fontId="19" fillId="0" borderId="0" xfId="1" applyFont="1" applyAlignment="1">
      <alignment horizontal="left" vertical="center"/>
    </xf>
    <xf numFmtId="178" fontId="23" fillId="3" borderId="3" xfId="1" applyNumberFormat="1" applyFont="1" applyFill="1" applyBorder="1" applyAlignment="1" applyProtection="1">
      <alignment horizontal="left" vertical="center" wrapText="1"/>
      <protection locked="0"/>
    </xf>
    <xf numFmtId="0" fontId="2" fillId="0" borderId="13" xfId="1" applyFont="1" applyBorder="1" applyProtection="1">
      <alignment vertical="center"/>
    </xf>
    <xf numFmtId="178" fontId="16" fillId="3" borderId="3" xfId="1" applyNumberFormat="1" applyFont="1" applyFill="1" applyBorder="1" applyAlignment="1" applyProtection="1">
      <alignment horizontal="left" vertical="center" wrapText="1"/>
      <protection locked="0"/>
    </xf>
    <xf numFmtId="0" fontId="2" fillId="0" borderId="14" xfId="1" applyFont="1" applyBorder="1" applyProtection="1">
      <alignment vertical="center"/>
    </xf>
    <xf numFmtId="0" fontId="16" fillId="0" borderId="0" xfId="1" applyFont="1" applyAlignment="1" applyProtection="1">
      <alignment vertical="center"/>
    </xf>
    <xf numFmtId="0" fontId="16" fillId="0" borderId="0" xfId="1" applyFont="1" applyFill="1" applyBorder="1" applyAlignment="1" applyProtection="1">
      <alignment horizontal="left"/>
    </xf>
    <xf numFmtId="0" fontId="16" fillId="0" borderId="13" xfId="1" applyFont="1" applyFill="1" applyBorder="1" applyAlignment="1" applyProtection="1">
      <alignment horizontal="left" vertical="center" wrapText="1"/>
    </xf>
    <xf numFmtId="178" fontId="14" fillId="0" borderId="13" xfId="1" applyNumberFormat="1" applyFont="1" applyFill="1" applyBorder="1" applyAlignment="1" applyProtection="1">
      <alignment horizontal="center" vertical="center"/>
    </xf>
    <xf numFmtId="176" fontId="17" fillId="0" borderId="13" xfId="1" applyNumberFormat="1" applyFont="1" applyFill="1" applyBorder="1" applyProtection="1">
      <alignment vertical="center"/>
    </xf>
    <xf numFmtId="0" fontId="7" fillId="0" borderId="0" xfId="1" applyFont="1" applyAlignment="1" applyProtection="1">
      <alignment vertical="top" shrinkToFit="1"/>
    </xf>
    <xf numFmtId="0" fontId="19" fillId="0" borderId="0" xfId="1" applyFont="1" applyAlignment="1">
      <alignment horizontal="left" wrapText="1"/>
    </xf>
    <xf numFmtId="0" fontId="16" fillId="0" borderId="0" xfId="1" applyFont="1" applyBorder="1" applyAlignment="1" applyProtection="1">
      <alignment horizontal="left" vertical="center"/>
    </xf>
    <xf numFmtId="38" fontId="14" fillId="0" borderId="1" xfId="5" applyFont="1" applyFill="1" applyBorder="1" applyAlignment="1" applyProtection="1">
      <alignment horizontal="center" vertical="center"/>
    </xf>
    <xf numFmtId="38" fontId="14" fillId="0" borderId="3" xfId="5" applyFont="1" applyFill="1" applyBorder="1" applyAlignment="1" applyProtection="1">
      <alignment horizontal="center" vertical="center"/>
    </xf>
    <xf numFmtId="177" fontId="17" fillId="2" borderId="3" xfId="1" applyNumberFormat="1" applyFont="1" applyFill="1" applyBorder="1" applyProtection="1">
      <alignment vertical="center"/>
    </xf>
    <xf numFmtId="38" fontId="14" fillId="0" borderId="8" xfId="5" applyFont="1" applyFill="1" applyBorder="1" applyAlignment="1" applyProtection="1">
      <alignment horizontal="center" vertical="center"/>
    </xf>
    <xf numFmtId="0" fontId="18" fillId="0" borderId="0" xfId="3">
      <alignment vertical="center"/>
    </xf>
    <xf numFmtId="0" fontId="18" fillId="0" borderId="15" xfId="3" applyBorder="1">
      <alignment vertical="center"/>
    </xf>
    <xf numFmtId="0" fontId="18" fillId="0" borderId="0" xfId="3" applyFill="1" applyBorder="1" applyAlignment="1">
      <alignment vertical="center" shrinkToFit="1"/>
    </xf>
    <xf numFmtId="0" fontId="18" fillId="0" borderId="16" xfId="3" applyBorder="1" applyAlignment="1">
      <alignment vertical="center" shrinkToFit="1"/>
    </xf>
    <xf numFmtId="0" fontId="18" fillId="0" borderId="16" xfId="3" applyBorder="1">
      <alignment vertical="center"/>
    </xf>
    <xf numFmtId="0" fontId="18" fillId="0" borderId="1" xfId="3" applyBorder="1" applyAlignment="1">
      <alignment vertical="center" shrinkToFit="1"/>
    </xf>
    <xf numFmtId="0" fontId="18" fillId="0" borderId="1" xfId="3" applyBorder="1">
      <alignment vertical="center"/>
    </xf>
    <xf numFmtId="0" fontId="18" fillId="3" borderId="1" xfId="3" applyFill="1" applyBorder="1">
      <alignment vertical="center"/>
    </xf>
    <xf numFmtId="0" fontId="18" fillId="0" borderId="1" xfId="3" applyBorder="1" applyAlignment="1">
      <alignment horizontal="center" vertical="center" shrinkToFit="1"/>
    </xf>
    <xf numFmtId="0" fontId="18" fillId="0" borderId="1" xfId="3" applyBorder="1" applyAlignment="1">
      <alignment vertical="center" wrapText="1"/>
    </xf>
    <xf numFmtId="0" fontId="18" fillId="0" borderId="1" xfId="3" applyFill="1" applyBorder="1">
      <alignment vertical="center"/>
    </xf>
    <xf numFmtId="0" fontId="2" fillId="0" borderId="0" xfId="1" applyFont="1" applyAlignment="1" applyProtection="1">
      <alignment horizontal="left" shrinkToFit="1"/>
    </xf>
    <xf numFmtId="0" fontId="19" fillId="0" borderId="0" xfId="1" applyFont="1" applyAlignment="1">
      <alignment horizontal="left" vertical="center" wrapText="1"/>
    </xf>
    <xf numFmtId="0" fontId="19" fillId="0" borderId="0" xfId="1" applyFont="1" applyAlignment="1">
      <alignment horizontal="left" vertical="center" wrapText="1"/>
    </xf>
    <xf numFmtId="0" fontId="2" fillId="0" borderId="0" xfId="1" applyFont="1" applyAlignment="1" applyProtection="1">
      <alignment horizontal="left" shrinkToFit="1"/>
    </xf>
    <xf numFmtId="0" fontId="28" fillId="0" borderId="0" xfId="4" applyProtection="1">
      <alignment vertical="center"/>
    </xf>
    <xf numFmtId="176" fontId="23" fillId="3" borderId="3" xfId="1" applyNumberFormat="1" applyFont="1" applyFill="1" applyBorder="1" applyAlignment="1" applyProtection="1">
      <alignment horizontal="center" vertical="center" wrapText="1"/>
      <protection locked="0"/>
    </xf>
    <xf numFmtId="0" fontId="2" fillId="0" borderId="0" xfId="1" applyFont="1" applyAlignment="1" applyProtection="1">
      <alignment horizontal="left" shrinkToFi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xf numFmtId="0" fontId="24" fillId="0" borderId="0" xfId="1" applyFont="1" applyAlignment="1">
      <alignment horizontal="left" vertical="center" wrapText="1"/>
    </xf>
    <xf numFmtId="0" fontId="30" fillId="0" borderId="0" xfId="1" applyFont="1" applyAlignment="1">
      <alignment horizontal="left" vertical="center" wrapText="1"/>
    </xf>
    <xf numFmtId="0" fontId="23" fillId="3" borderId="3" xfId="1" applyNumberFormat="1" applyFont="1" applyFill="1" applyBorder="1" applyAlignment="1" applyProtection="1">
      <alignment horizontal="center" vertical="center" wrapText="1"/>
      <protection locked="0"/>
    </xf>
    <xf numFmtId="176" fontId="14" fillId="0" borderId="3" xfId="1" applyNumberFormat="1" applyFont="1" applyFill="1" applyBorder="1" applyAlignment="1" applyProtection="1">
      <alignment horizontal="center" vertical="center" shrinkToFit="1"/>
    </xf>
    <xf numFmtId="0" fontId="2" fillId="0" borderId="0" xfId="1" applyFont="1" applyBorder="1" applyProtection="1">
      <alignment vertical="center"/>
    </xf>
    <xf numFmtId="0" fontId="18" fillId="0" borderId="0" xfId="3" applyAlignment="1" applyProtection="1">
      <alignment vertical="center" shrinkToFit="1"/>
    </xf>
    <xf numFmtId="176" fontId="14" fillId="3" borderId="3" xfId="1" applyNumberFormat="1" applyFont="1" applyFill="1" applyBorder="1" applyAlignment="1" applyProtection="1">
      <alignment horizontal="center" vertical="center" wrapText="1"/>
      <protection locked="0"/>
    </xf>
    <xf numFmtId="177" fontId="31" fillId="2" borderId="1" xfId="1" applyNumberFormat="1" applyFont="1" applyFill="1" applyBorder="1" applyProtection="1">
      <alignment vertical="center"/>
    </xf>
    <xf numFmtId="0" fontId="38" fillId="0" borderId="1" xfId="1" applyFont="1" applyBorder="1" applyProtection="1">
      <alignment vertical="center"/>
    </xf>
    <xf numFmtId="0" fontId="13" fillId="0" borderId="0" xfId="2" applyFont="1" applyAlignment="1" applyProtection="1">
      <alignment horizontal="left" vertical="top" wrapText="1"/>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Protection="1">
      <alignment vertical="center"/>
    </xf>
    <xf numFmtId="0" fontId="6" fillId="0" borderId="0" xfId="1" applyFont="1" applyProtection="1">
      <alignment vertical="center"/>
    </xf>
    <xf numFmtId="0" fontId="2" fillId="0" borderId="0" xfId="1" applyFont="1" applyAlignment="1" applyProtection="1">
      <alignment vertical="center"/>
    </xf>
    <xf numFmtId="0" fontId="5" fillId="0" borderId="0" xfId="1" applyFont="1" applyProtection="1">
      <alignment vertical="center"/>
    </xf>
    <xf numFmtId="177" fontId="17" fillId="2" borderId="1" xfId="1" applyNumberFormat="1" applyFont="1" applyFill="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0" fontId="2" fillId="0" borderId="1" xfId="1" applyFont="1" applyBorder="1" applyProtection="1">
      <alignment vertical="center"/>
    </xf>
    <xf numFmtId="38" fontId="14" fillId="0" borderId="1" xfId="5" applyFont="1" applyFill="1" applyBorder="1" applyAlignment="1" applyProtection="1">
      <alignment horizontal="center" vertical="center"/>
    </xf>
    <xf numFmtId="38" fontId="14" fillId="0" borderId="8" xfId="5" applyFont="1" applyFill="1" applyBorder="1" applyAlignment="1" applyProtection="1">
      <alignment horizontal="center" vertical="center"/>
    </xf>
    <xf numFmtId="0" fontId="2" fillId="0" borderId="0" xfId="1" applyFont="1" applyProtection="1">
      <alignment vertical="center"/>
      <protection locked="0"/>
    </xf>
    <xf numFmtId="176" fontId="14" fillId="3" borderId="8" xfId="1" applyNumberFormat="1" applyFont="1" applyFill="1" applyBorder="1" applyAlignment="1" applyProtection="1">
      <alignment horizontal="center" vertical="center" shrinkToFit="1"/>
      <protection locked="0"/>
    </xf>
    <xf numFmtId="176" fontId="20" fillId="0" borderId="0" xfId="1" applyNumberFormat="1" applyFont="1" applyAlignment="1" applyProtection="1">
      <alignment vertical="center" shrinkToFit="1"/>
    </xf>
    <xf numFmtId="0" fontId="16" fillId="2" borderId="12"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37" fillId="2" borderId="12" xfId="1" applyFont="1" applyFill="1" applyBorder="1" applyAlignment="1" applyProtection="1">
      <alignment horizontal="left" vertical="center" wrapText="1"/>
    </xf>
    <xf numFmtId="0" fontId="37" fillId="2" borderId="8" xfId="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36" fillId="0" borderId="0" xfId="1" applyFont="1" applyAlignment="1" applyProtection="1">
      <alignment horizontal="center" vertical="center" wrapText="1"/>
    </xf>
    <xf numFmtId="0" fontId="16" fillId="2" borderId="3" xfId="1" applyFont="1" applyFill="1" applyBorder="1" applyAlignment="1" applyProtection="1">
      <alignment horizontal="lef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2" fillId="0" borderId="0" xfId="1" applyFont="1" applyAlignment="1" applyProtection="1">
      <alignment horizontal="left" shrinkToFit="1"/>
    </xf>
    <xf numFmtId="0" fontId="19" fillId="0" borderId="0" xfId="1" applyFont="1" applyAlignment="1">
      <alignment horizontal="left" vertical="center" wrapText="1"/>
    </xf>
    <xf numFmtId="0" fontId="28" fillId="0" borderId="0" xfId="4" applyAlignment="1" applyProtection="1">
      <alignment vertical="center" shrinkToFit="1"/>
    </xf>
    <xf numFmtId="0" fontId="18" fillId="0" borderId="0" xfId="3" applyAlignment="1" applyProtection="1">
      <alignment vertical="center" shrinkToFit="1"/>
    </xf>
    <xf numFmtId="0" fontId="30" fillId="0" borderId="0" xfId="1" applyFont="1" applyAlignment="1">
      <alignment horizontal="left" vertical="center" wrapText="1"/>
    </xf>
    <xf numFmtId="0" fontId="16" fillId="2" borderId="1" xfId="1" applyFont="1" applyFill="1" applyBorder="1" applyAlignment="1" applyProtection="1">
      <alignment horizontal="left" vertical="center"/>
    </xf>
    <xf numFmtId="0" fontId="30" fillId="0" borderId="0" xfId="1" applyFont="1" applyAlignment="1">
      <alignment horizontal="left" vertical="top" wrapText="1"/>
    </xf>
    <xf numFmtId="0" fontId="6" fillId="0" borderId="0" xfId="1" applyFont="1" applyAlignment="1" applyProtection="1">
      <alignment vertical="center" wrapText="1"/>
    </xf>
    <xf numFmtId="0" fontId="18" fillId="0" borderId="0" xfId="3" applyAlignment="1">
      <alignment vertical="center" wrapText="1"/>
    </xf>
    <xf numFmtId="0" fontId="5" fillId="0" borderId="0" xfId="1" applyFont="1" applyAlignment="1" applyProtection="1">
      <alignment horizontal="lef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4" fillId="2" borderId="1" xfId="2" applyFont="1" applyFill="1" applyBorder="1" applyAlignment="1" applyProtection="1">
      <alignment horizontal="left" vertical="center" wrapText="1"/>
    </xf>
    <xf numFmtId="0" fontId="2" fillId="0" borderId="0" xfId="1" applyFont="1" applyAlignment="1" applyProtection="1">
      <alignment horizontal="center" shrinkToFit="1"/>
    </xf>
    <xf numFmtId="0" fontId="14" fillId="2" borderId="4" xfId="2" applyFont="1" applyFill="1" applyBorder="1" applyAlignment="1" applyProtection="1">
      <alignment horizontal="left" vertical="center" wrapText="1"/>
    </xf>
    <xf numFmtId="0" fontId="14" fillId="2" borderId="5" xfId="2" applyFont="1" applyFill="1" applyBorder="1" applyAlignment="1" applyProtection="1">
      <alignment horizontal="left" vertical="center" wrapText="1"/>
    </xf>
    <xf numFmtId="0" fontId="24" fillId="0" borderId="0" xfId="1" applyFont="1" applyAlignment="1">
      <alignment horizontal="left" vertical="center" wrapText="1"/>
    </xf>
  </cellXfs>
  <cellStyles count="49">
    <cellStyle name="ハイパーリンク" xfId="4" builtinId="8"/>
    <cellStyle name="桁区切り 2" xfId="5"/>
    <cellStyle name="桁区切り 2 10" xfId="6"/>
    <cellStyle name="標準" xfId="0" builtinId="0"/>
    <cellStyle name="標準 2" xfId="7"/>
    <cellStyle name="標準 2 2" xfId="8"/>
    <cellStyle name="標準 2 3" xfId="9"/>
    <cellStyle name="標準 2 4" xfId="10"/>
    <cellStyle name="標準 2 5" xfId="2"/>
    <cellStyle name="標準 3" xfId="11"/>
    <cellStyle name="標準 3 2" xfId="12"/>
    <cellStyle name="標準 3 2 2" xfId="13"/>
    <cellStyle name="標準 3 2 2 2" xfId="30"/>
    <cellStyle name="標準 3 2 2 3" xfId="41"/>
    <cellStyle name="標準 3 2 3" xfId="23"/>
    <cellStyle name="標準 3 2 4" xfId="29"/>
    <cellStyle name="標準 3 2 5" xfId="40"/>
    <cellStyle name="標準 3 3" xfId="14"/>
    <cellStyle name="標準 3 3 2" xfId="15"/>
    <cellStyle name="標準 3 3 2 2" xfId="32"/>
    <cellStyle name="標準 3 3 2 3" xfId="43"/>
    <cellStyle name="標準 3 3 3" xfId="1"/>
    <cellStyle name="標準 3 3 4" xfId="24"/>
    <cellStyle name="標準 3 3 5" xfId="31"/>
    <cellStyle name="標準 3 3 6" xfId="42"/>
    <cellStyle name="標準 3 4" xfId="16"/>
    <cellStyle name="標準 3 4 2" xfId="17"/>
    <cellStyle name="標準 3 4 2 2" xfId="34"/>
    <cellStyle name="標準 3 4 2 3" xfId="45"/>
    <cellStyle name="標準 3 4 3" xfId="26"/>
    <cellStyle name="標準 3 4 4" xfId="33"/>
    <cellStyle name="標準 3 4 5" xfId="44"/>
    <cellStyle name="標準 3 5" xfId="18"/>
    <cellStyle name="標準 3 5 2" xfId="35"/>
    <cellStyle name="標準 3 5 3" xfId="46"/>
    <cellStyle name="標準 3 6" xfId="22"/>
    <cellStyle name="標準 3 7" xfId="28"/>
    <cellStyle name="標準 3 8" xfId="39"/>
    <cellStyle name="標準 4" xfId="19"/>
    <cellStyle name="標準 5" xfId="20"/>
    <cellStyle name="標準 5 2" xfId="21"/>
    <cellStyle name="標準 5 2 2" xfId="37"/>
    <cellStyle name="標準 5 2 3" xfId="48"/>
    <cellStyle name="標準 5 3" xfId="25"/>
    <cellStyle name="標準 5 4" xfId="36"/>
    <cellStyle name="標準 5 5" xfId="47"/>
    <cellStyle name="標準 6" xfId="3"/>
    <cellStyle name="標準 7" xfId="27"/>
    <cellStyle name="標準 8"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ev-pc.or.jp/" TargetMode="External"/><Relationship Id="rId7" Type="http://schemas.openxmlformats.org/officeDocument/2006/relationships/hyperlink" Target="https://www.cev-pc.or.jp/" TargetMode="External"/><Relationship Id="rId2" Type="http://schemas.openxmlformats.org/officeDocument/2006/relationships/hyperlink" Target="https://zehweb.jp/registration/battery/" TargetMode="External"/><Relationship Id="rId1" Type="http://schemas.openxmlformats.org/officeDocument/2006/relationships/hyperlink" Target="http://fca-enefarm.org/registration_list.html" TargetMode="External"/><Relationship Id="rId6" Type="http://schemas.openxmlformats.org/officeDocument/2006/relationships/hyperlink" Target="https://www.cev-pc.or.jp/" TargetMode="External"/><Relationship Id="rId5" Type="http://schemas.openxmlformats.org/officeDocument/2006/relationships/hyperlink" Target="https://www.cev-pc.or.jp/" TargetMode="External"/><Relationship Id="rId10" Type="http://schemas.openxmlformats.org/officeDocument/2006/relationships/comments" Target="../comments1.xml"/><Relationship Id="rId4" Type="http://schemas.openxmlformats.org/officeDocument/2006/relationships/hyperlink" Target="https://www.cev-pc.or.j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35"/>
  <sheetViews>
    <sheetView showGridLines="0" tabSelected="1" view="pageBreakPreview" zoomScaleNormal="100" zoomScaleSheetLayoutView="100" workbookViewId="0">
      <selection activeCell="E4" sqref="E4"/>
    </sheetView>
  </sheetViews>
  <sheetFormatPr defaultColWidth="8" defaultRowHeight="13.5" outlineLevelCol="1"/>
  <cols>
    <col min="1" max="1" width="2.75" style="1" customWidth="1"/>
    <col min="2" max="2" width="3.625" style="1" customWidth="1"/>
    <col min="3" max="3" width="16.875" style="2" customWidth="1"/>
    <col min="4" max="4" width="20.25" style="1" customWidth="1"/>
    <col min="5" max="5" width="37.5" style="2" customWidth="1"/>
    <col min="6" max="6" width="27.875" style="3" customWidth="1"/>
    <col min="7" max="7" width="4.5" style="31" customWidth="1"/>
    <col min="8" max="8" width="9.625" style="1" customWidth="1"/>
    <col min="9" max="9" width="7.25" style="1" customWidth="1"/>
    <col min="10" max="10" width="10.75" style="5" customWidth="1"/>
    <col min="11" max="13" width="10.75" style="1" customWidth="1"/>
    <col min="14" max="19" width="8" style="1" customWidth="1"/>
    <col min="20" max="20" width="13.125" style="1" customWidth="1"/>
    <col min="21" max="23" width="8" style="1" customWidth="1"/>
    <col min="24" max="24" width="8" style="6"/>
    <col min="25" max="35" width="8" style="1" hidden="1" customWidth="1" outlineLevel="1"/>
    <col min="36" max="36" width="8" style="1" collapsed="1"/>
    <col min="37" max="16384" width="8" style="1"/>
  </cols>
  <sheetData>
    <row r="1" spans="1:25">
      <c r="G1" s="4" t="str">
        <f>IF(E5="","","申請者：")</f>
        <v/>
      </c>
      <c r="H1" s="154" t="str">
        <f>IF(E5="","","  "&amp;E5)</f>
        <v/>
      </c>
      <c r="I1" s="154"/>
    </row>
    <row r="2" spans="1:25" ht="33.6" customHeight="1">
      <c r="A2" s="7"/>
      <c r="B2" s="155" t="s">
        <v>0</v>
      </c>
      <c r="C2" s="156"/>
      <c r="D2" s="156"/>
      <c r="E2" s="156"/>
      <c r="F2" s="127" t="s">
        <v>245</v>
      </c>
      <c r="G2" s="9"/>
      <c r="H2" s="157"/>
      <c r="I2" s="157"/>
      <c r="X2" s="6">
        <f>+X4*X5*X13*X14*X15*X9*X10</f>
        <v>0</v>
      </c>
    </row>
    <row r="3" spans="1:25" ht="22.5" customHeight="1">
      <c r="A3" s="7"/>
      <c r="B3" s="10"/>
      <c r="C3" s="11"/>
      <c r="D3" s="11"/>
      <c r="E3" s="11"/>
      <c r="F3" s="8"/>
      <c r="G3" s="9"/>
      <c r="H3" s="12"/>
      <c r="I3" s="12"/>
      <c r="X3" s="6" t="s">
        <v>1</v>
      </c>
    </row>
    <row r="4" spans="1:25" s="13" customFormat="1" ht="50.1" customHeight="1">
      <c r="C4" s="158" t="s">
        <v>2</v>
      </c>
      <c r="D4" s="158"/>
      <c r="E4" s="14" t="s">
        <v>246</v>
      </c>
      <c r="F4" s="15" t="s">
        <v>3</v>
      </c>
      <c r="G4" s="16"/>
      <c r="H4" s="16"/>
      <c r="J4" s="17"/>
      <c r="L4" s="18" t="s">
        <v>4</v>
      </c>
      <c r="X4" s="19">
        <f>IF(E4="",0,1)</f>
        <v>1</v>
      </c>
    </row>
    <row r="5" spans="1:25" s="13" customFormat="1" ht="50.1" customHeight="1">
      <c r="C5" s="158" t="s">
        <v>5</v>
      </c>
      <c r="D5" s="158"/>
      <c r="E5" s="20"/>
      <c r="F5" s="15" t="s">
        <v>3</v>
      </c>
      <c r="G5" s="16"/>
      <c r="H5" s="16"/>
      <c r="J5" s="17"/>
      <c r="L5" s="18"/>
      <c r="X5" s="19">
        <f>IF(E5="",0,1)</f>
        <v>0</v>
      </c>
    </row>
    <row r="6" spans="1:25" s="13" customFormat="1" ht="39.950000000000003" customHeight="1">
      <c r="C6" s="158" t="s">
        <v>6</v>
      </c>
      <c r="D6" s="158"/>
      <c r="E6" s="14"/>
      <c r="F6" s="15" t="s">
        <v>145</v>
      </c>
      <c r="G6" s="16"/>
      <c r="H6" s="21"/>
      <c r="J6" s="17"/>
      <c r="L6" s="18"/>
      <c r="X6" s="19"/>
    </row>
    <row r="7" spans="1:25" s="13" customFormat="1" ht="39.950000000000003" customHeight="1">
      <c r="C7" s="158" t="s">
        <v>224</v>
      </c>
      <c r="D7" s="158"/>
      <c r="E7" s="20"/>
      <c r="F7" s="15" t="s">
        <v>146</v>
      </c>
      <c r="G7" s="16"/>
      <c r="H7" s="22"/>
      <c r="J7" s="17"/>
      <c r="L7" s="18"/>
      <c r="X7" s="19"/>
    </row>
    <row r="8" spans="1:25" s="13" customFormat="1" ht="39.950000000000003" customHeight="1">
      <c r="C8" s="160" t="s">
        <v>225</v>
      </c>
      <c r="D8" s="161"/>
      <c r="E8" s="20"/>
      <c r="F8" s="15" t="s">
        <v>226</v>
      </c>
      <c r="G8" s="16"/>
      <c r="H8" s="22"/>
      <c r="J8" s="17"/>
      <c r="L8" s="18"/>
      <c r="X8" s="19"/>
    </row>
    <row r="9" spans="1:25" s="13" customFormat="1" ht="39.950000000000003" customHeight="1">
      <c r="C9" s="158" t="s">
        <v>198</v>
      </c>
      <c r="D9" s="158"/>
      <c r="E9" s="20"/>
      <c r="F9" s="15" t="s">
        <v>3</v>
      </c>
      <c r="G9" s="16"/>
      <c r="H9" s="22"/>
      <c r="J9" s="17"/>
      <c r="L9" s="18"/>
      <c r="X9" s="19">
        <f>IF(E9="",0,1)</f>
        <v>0</v>
      </c>
    </row>
    <row r="10" spans="1:25" s="13" customFormat="1" ht="409.5" customHeight="1">
      <c r="A10" s="103"/>
      <c r="B10" s="103"/>
      <c r="C10" s="158" t="s">
        <v>227</v>
      </c>
      <c r="D10" s="158"/>
      <c r="E10" s="109"/>
      <c r="F10" s="104" t="s">
        <v>3</v>
      </c>
      <c r="G10" s="105"/>
      <c r="H10" s="105"/>
      <c r="I10" s="103"/>
      <c r="J10" s="106"/>
      <c r="K10" s="103"/>
      <c r="L10" s="107"/>
      <c r="M10" s="103"/>
      <c r="N10" s="103"/>
      <c r="O10" s="103"/>
      <c r="P10" s="103"/>
      <c r="Q10" s="103"/>
      <c r="R10" s="103"/>
      <c r="S10" s="103"/>
      <c r="T10" s="103"/>
      <c r="U10" s="103"/>
      <c r="V10" s="103"/>
      <c r="W10" s="103"/>
      <c r="X10" s="108">
        <f>IF(E10="",0,1)</f>
        <v>0</v>
      </c>
      <c r="Y10" s="103"/>
    </row>
    <row r="11" spans="1:25" s="13" customFormat="1" ht="22.5" customHeight="1">
      <c r="C11" s="23"/>
      <c r="D11" s="24"/>
      <c r="E11" s="24"/>
      <c r="F11" s="24"/>
      <c r="G11" s="25"/>
      <c r="H11" s="26"/>
      <c r="J11" s="17"/>
      <c r="M11" s="18"/>
      <c r="X11" s="19"/>
    </row>
    <row r="12" spans="1:25" s="13" customFormat="1" ht="16.5" customHeight="1">
      <c r="A12" s="1"/>
      <c r="B12" s="27" t="s">
        <v>7</v>
      </c>
      <c r="C12" s="28"/>
      <c r="D12" s="28"/>
      <c r="E12" s="29"/>
      <c r="F12" s="30"/>
      <c r="G12" s="31"/>
      <c r="H12" s="1"/>
      <c r="I12" s="1"/>
      <c r="J12" s="17"/>
      <c r="L12" s="18" t="s">
        <v>8</v>
      </c>
      <c r="X12" s="19"/>
    </row>
    <row r="13" spans="1:25" ht="50.1" customHeight="1">
      <c r="B13" s="32"/>
      <c r="C13" s="132" t="s">
        <v>9</v>
      </c>
      <c r="D13" s="132"/>
      <c r="E13" s="33"/>
      <c r="F13" s="15" t="s">
        <v>3</v>
      </c>
      <c r="G13" s="34"/>
      <c r="J13" s="152" t="str">
        <f>IF(E13="設置されていなかった（今回設置しない）","太陽光発電設備が今回新たに設置されるのではない場合は太陽光発電設備・蓄電池の補助は対象外となります。また、太陽光発電設備が設置されない場合は高効率給湯器・コージェネは対象外となります。",IF(E13="設置されていた","以前から太陽光発電設備が設置されていた場合は太陽光発電設備・蓄電池の補助は対象外となります。",""))</f>
        <v/>
      </c>
      <c r="K13" s="153"/>
      <c r="L13" s="153"/>
      <c r="M13" s="153"/>
      <c r="N13" s="153"/>
      <c r="O13" s="153"/>
      <c r="P13" s="153"/>
      <c r="Q13" s="153"/>
      <c r="R13" s="153"/>
      <c r="S13" s="153"/>
      <c r="X13" s="19">
        <f>IF(E13="",0,1)</f>
        <v>0</v>
      </c>
    </row>
    <row r="14" spans="1:25" ht="50.1" customHeight="1" thickBot="1">
      <c r="B14" s="32"/>
      <c r="C14" s="132" t="s">
        <v>10</v>
      </c>
      <c r="D14" s="132"/>
      <c r="E14" s="33"/>
      <c r="F14" s="15" t="s">
        <v>3</v>
      </c>
      <c r="G14" s="34"/>
      <c r="H14" s="159" t="s">
        <v>11</v>
      </c>
      <c r="I14" s="159"/>
      <c r="J14" s="5" t="str">
        <f>IF(E14="利用する","FIT・FIP制度を利用する場合は太陽光発電設備・蓄電池の補助は対象外となります。","")</f>
        <v/>
      </c>
      <c r="X14" s="19">
        <f>IF(E14="",0,1)</f>
        <v>0</v>
      </c>
    </row>
    <row r="15" spans="1:25" ht="50.1" customHeight="1" thickBot="1">
      <c r="B15" s="32"/>
      <c r="C15" s="132" t="s">
        <v>12</v>
      </c>
      <c r="D15" s="132"/>
      <c r="E15" s="33"/>
      <c r="F15" s="15" t="s">
        <v>3</v>
      </c>
      <c r="G15" s="34"/>
      <c r="H15" s="35" t="str">
        <f>IF(X2=1,"○","")</f>
        <v/>
      </c>
      <c r="J15" s="152" t="str">
        <f>IF(E15="使用する（今回新たに設置・今回取替）","コージェネレーションシステムを使用する場合は太陽光発電設備・蓄電池の補助は対象外となります。",IF(E15="使用する（従来から設置するものを）","従来から設置するコージェネレーションシステムを引き続き使用する場合は太陽光発電設備・蓄電池・コージェネレーションシステムの補助は対象外となります。",""))</f>
        <v/>
      </c>
      <c r="K15" s="153"/>
      <c r="L15" s="153"/>
      <c r="M15" s="153"/>
      <c r="N15" s="153"/>
      <c r="O15" s="153"/>
      <c r="P15" s="153"/>
      <c r="Q15" s="153"/>
      <c r="R15" s="153"/>
      <c r="X15" s="19">
        <f>IF(E15="",0,1)</f>
        <v>0</v>
      </c>
    </row>
    <row r="16" spans="1:25" ht="16.5" customHeight="1">
      <c r="B16" s="32"/>
      <c r="C16" s="36"/>
      <c r="D16" s="36"/>
      <c r="E16" s="37"/>
      <c r="F16" s="38"/>
      <c r="G16" s="9"/>
      <c r="J16" s="5" t="str">
        <f>IF(X2=0,"上記の記載必須項目が入力されていません。","")</f>
        <v>上記の記載必須項目が入力されていません。</v>
      </c>
    </row>
    <row r="17" spans="2:24" s="13" customFormat="1" ht="12.75" customHeight="1">
      <c r="B17" s="39"/>
      <c r="C17" s="23"/>
      <c r="D17" s="40"/>
      <c r="E17" s="40"/>
      <c r="F17" s="40"/>
      <c r="G17" s="25"/>
      <c r="H17" s="26"/>
      <c r="J17" s="17"/>
      <c r="X17" s="19"/>
    </row>
    <row r="18" spans="2:24" s="13" customFormat="1" ht="12.75" customHeight="1">
      <c r="B18" s="39"/>
      <c r="C18" s="23"/>
      <c r="D18" s="40"/>
      <c r="E18" s="40"/>
      <c r="F18" s="40"/>
      <c r="G18" s="25"/>
      <c r="H18" s="26"/>
      <c r="J18" s="17"/>
      <c r="X18" s="19"/>
    </row>
    <row r="19" spans="2:24" ht="16.5" customHeight="1">
      <c r="B19" s="27" t="s">
        <v>13</v>
      </c>
      <c r="C19" s="28"/>
      <c r="D19" s="28"/>
      <c r="E19" s="29"/>
      <c r="F19" s="30"/>
      <c r="L19" s="18" t="s">
        <v>14</v>
      </c>
    </row>
    <row r="20" spans="2:24" ht="16.5" customHeight="1">
      <c r="C20" s="28" t="s">
        <v>15</v>
      </c>
      <c r="D20" s="28"/>
      <c r="E20" s="29"/>
      <c r="F20" s="30"/>
    </row>
    <row r="21" spans="2:24" ht="50.1" customHeight="1">
      <c r="B21" s="32"/>
      <c r="C21" s="132" t="s">
        <v>16</v>
      </c>
      <c r="D21" s="132"/>
      <c r="E21" s="41"/>
      <c r="F21" s="15"/>
      <c r="G21" s="9" t="s">
        <v>17</v>
      </c>
      <c r="J21" s="5" t="str">
        <f>IF(E26+E27=0,"",IF(E21="","メーカー名・型番を入力してください。",""))</f>
        <v/>
      </c>
      <c r="X21" s="19"/>
    </row>
    <row r="22" spans="2:24" ht="50.1" customHeight="1">
      <c r="B22" s="32"/>
      <c r="C22" s="132" t="s">
        <v>18</v>
      </c>
      <c r="D22" s="132"/>
      <c r="E22" s="41"/>
      <c r="F22" s="15"/>
      <c r="G22" s="9" t="s">
        <v>19</v>
      </c>
      <c r="J22" s="5" t="str">
        <f>IF(E26+E27=0,"",IF(E22="","メーカー名・型番を入力してください。",""))</f>
        <v/>
      </c>
      <c r="X22" s="19"/>
    </row>
    <row r="23" spans="2:24" ht="50.1" customHeight="1">
      <c r="B23" s="32"/>
      <c r="C23" s="132" t="s">
        <v>20</v>
      </c>
      <c r="D23" s="132"/>
      <c r="E23" s="42"/>
      <c r="F23" s="15" t="s">
        <v>21</v>
      </c>
      <c r="G23" s="9" t="s">
        <v>22</v>
      </c>
      <c r="J23" s="5" t="str">
        <f>IF(E26+E27=0,"",IF(E23="","未入力です。入力してください。",IF(E23&gt;5.1,"太陽電池モジュールの公称最大出力の合計値が5.10kWを超える場合は太陽光発電設備の補助は対象外となります。","")))</f>
        <v/>
      </c>
    </row>
    <row r="24" spans="2:24" ht="50.1" customHeight="1">
      <c r="B24" s="32"/>
      <c r="C24" s="132" t="s">
        <v>23</v>
      </c>
      <c r="D24" s="132"/>
      <c r="E24" s="42"/>
      <c r="F24" s="15" t="s">
        <v>21</v>
      </c>
      <c r="G24" s="9" t="s">
        <v>24</v>
      </c>
      <c r="M24" s="43"/>
      <c r="N24" s="43"/>
      <c r="O24" s="43"/>
      <c r="P24" s="43"/>
      <c r="Q24" s="43"/>
      <c r="R24" s="43"/>
      <c r="S24" s="43"/>
      <c r="T24" s="43"/>
    </row>
    <row r="25" spans="2:24" ht="50.1" customHeight="1">
      <c r="B25" s="32"/>
      <c r="C25" s="132" t="s">
        <v>25</v>
      </c>
      <c r="D25" s="132"/>
      <c r="E25" s="44" t="str">
        <f>IF(E23="","",ROUNDDOWN(MIN(E23:E24),0))</f>
        <v/>
      </c>
      <c r="F25" s="15" t="s">
        <v>26</v>
      </c>
      <c r="G25" s="9" t="s">
        <v>27</v>
      </c>
      <c r="J25" s="5" t="str">
        <f>IF(E14="利用する","FIT・FIP制度を利用する場合は太陽光発電設備・蓄電池の補助は対象外となります。","")</f>
        <v/>
      </c>
      <c r="M25" s="43"/>
      <c r="N25" s="43"/>
      <c r="O25" s="43"/>
      <c r="P25" s="43"/>
      <c r="Q25" s="43"/>
      <c r="R25" s="43"/>
      <c r="S25" s="43"/>
      <c r="T25" s="43"/>
    </row>
    <row r="26" spans="2:24" ht="50.1" customHeight="1">
      <c r="B26" s="32"/>
      <c r="C26" s="143" t="s">
        <v>28</v>
      </c>
      <c r="D26" s="144"/>
      <c r="E26" s="45"/>
      <c r="F26" s="15" t="s">
        <v>29</v>
      </c>
      <c r="G26" s="9" t="s">
        <v>30</v>
      </c>
      <c r="M26" s="162" t="s">
        <v>31</v>
      </c>
      <c r="N26" s="162"/>
      <c r="O26" s="162"/>
      <c r="P26" s="162"/>
      <c r="Q26" s="162"/>
      <c r="R26" s="162"/>
      <c r="S26" s="162"/>
      <c r="T26" s="162"/>
    </row>
    <row r="27" spans="2:24" ht="50.1" customHeight="1">
      <c r="B27" s="32"/>
      <c r="C27" s="143" t="s">
        <v>32</v>
      </c>
      <c r="D27" s="144"/>
      <c r="E27" s="45"/>
      <c r="F27" s="15" t="s">
        <v>29</v>
      </c>
      <c r="G27" s="9" t="s">
        <v>33</v>
      </c>
      <c r="M27" s="162"/>
      <c r="N27" s="162"/>
      <c r="O27" s="162"/>
      <c r="P27" s="162"/>
      <c r="Q27" s="162"/>
      <c r="R27" s="162"/>
      <c r="S27" s="162"/>
      <c r="T27" s="162"/>
    </row>
    <row r="28" spans="2:24" ht="50.1" customHeight="1">
      <c r="B28" s="32"/>
      <c r="C28" s="139" t="s">
        <v>197</v>
      </c>
      <c r="D28" s="140"/>
      <c r="E28" s="97">
        <f>+E26+E27</f>
        <v>0</v>
      </c>
      <c r="F28" s="15" t="s">
        <v>174</v>
      </c>
      <c r="G28" s="9" t="s">
        <v>175</v>
      </c>
      <c r="H28" s="91"/>
      <c r="I28" s="91"/>
      <c r="M28" s="94"/>
      <c r="N28" s="94"/>
      <c r="O28" s="94"/>
      <c r="P28" s="94"/>
      <c r="Q28" s="94"/>
      <c r="R28" s="94"/>
      <c r="S28" s="94"/>
      <c r="T28" s="94"/>
    </row>
    <row r="29" spans="2:24" ht="50.1" customHeight="1" thickBot="1">
      <c r="B29" s="32"/>
      <c r="C29" s="139" t="s">
        <v>200</v>
      </c>
      <c r="D29" s="140"/>
      <c r="E29" s="45"/>
      <c r="F29" s="15" t="s">
        <v>179</v>
      </c>
      <c r="G29" s="9" t="s">
        <v>176</v>
      </c>
      <c r="H29" s="145" t="s">
        <v>34</v>
      </c>
      <c r="I29" s="145"/>
      <c r="M29" s="94"/>
      <c r="N29" s="94"/>
      <c r="O29" s="94"/>
      <c r="P29" s="94"/>
      <c r="Q29" s="94"/>
      <c r="R29" s="94"/>
      <c r="S29" s="94"/>
      <c r="T29" s="94"/>
    </row>
    <row r="30" spans="2:24" ht="50.1" customHeight="1" thickBot="1">
      <c r="B30" s="32"/>
      <c r="C30" s="143" t="s">
        <v>35</v>
      </c>
      <c r="D30" s="144"/>
      <c r="E30" s="44">
        <f>IF(E26+E27-E29=0,0,E26+E27-E29)</f>
        <v>0</v>
      </c>
      <c r="F30" s="15" t="s">
        <v>178</v>
      </c>
      <c r="G30" s="9" t="s">
        <v>68</v>
      </c>
      <c r="H30" s="35" t="str">
        <f>IF(E23="","",IF(E14="利用する","",IF(E13="設置されていなかった（今回新たに設置）",IF(E21="","",IF(E22="","",IF(H103="","",IF(E15="使用しない",IF(E23&lt;=5.1,"○",""),"")))),"")))</f>
        <v/>
      </c>
      <c r="I30" s="46"/>
      <c r="J30" s="5" t="str">
        <f>IF(E15="使用する（今回新たに設置・今回取替）","コージェネレーションシステムを使用する場合は太陽光発電設備・蓄電池の補助は対象外となります。",IF(E15="使用する（従来から設置するものを）","コージェネレーションシステムを使用する場合は太陽光発電設備・蓄電池の補助は対象外となります。",""))</f>
        <v/>
      </c>
      <c r="M30" s="43"/>
      <c r="N30" s="43"/>
      <c r="O30" s="43"/>
      <c r="P30" s="43"/>
      <c r="Q30" s="43"/>
      <c r="R30" s="43"/>
      <c r="S30" s="43"/>
      <c r="T30" s="43"/>
    </row>
    <row r="31" spans="2:24" ht="50.1" customHeight="1" thickBot="1">
      <c r="B31" s="32"/>
      <c r="C31" s="130" t="s">
        <v>228</v>
      </c>
      <c r="D31" s="131"/>
      <c r="E31" s="47">
        <f>IF(H30="○",IF(E25="",0,IF(E25*70000&lt;=350000,ROUNDDOWN(MIN(E25*70000,E30),-3),350000)),0)</f>
        <v>0</v>
      </c>
      <c r="F31" s="48" t="s">
        <v>29</v>
      </c>
      <c r="G31" s="9" t="s">
        <v>177</v>
      </c>
      <c r="J31" s="5" t="str">
        <f>IF(E26+E27=0,"",IF(E103="","「３自家消費率」の入力が必要です。",IF(E103="","「３自家消費率」の入力が必要です。","")))</f>
        <v/>
      </c>
      <c r="M31" s="43"/>
      <c r="N31" s="43"/>
      <c r="O31" s="43"/>
      <c r="P31" s="43"/>
      <c r="Q31" s="43"/>
      <c r="R31" s="43"/>
      <c r="S31" s="43"/>
      <c r="T31" s="43"/>
    </row>
    <row r="32" spans="2:24" s="110" customFormat="1" ht="50.1" customHeight="1" thickBot="1">
      <c r="B32" s="116"/>
      <c r="C32" s="130" t="s">
        <v>229</v>
      </c>
      <c r="D32" s="131"/>
      <c r="E32" s="120">
        <f>IF(E31=0,0,IF(E30&lt;(E31+E25*40000),IF(H30="○",IF(E25="",0,IF(E25*40000&lt;=200000,ROUNDDOWN(MIN(E25*40000-(E31+E25*40000-E30),E30-(E31+E25*40000-E30)),-3),200000-(E31+E25*40000-E30))),0),IF(H30="○",IF(E25="",0,IF(E25*40000&lt;=200000,ROUNDDOWN(MIN(E25*40000,E30),-3),200000)),0)))</f>
        <v>0</v>
      </c>
      <c r="F32" s="121" t="s">
        <v>29</v>
      </c>
      <c r="G32" s="113" t="s">
        <v>230</v>
      </c>
      <c r="J32" s="111"/>
      <c r="M32" s="117"/>
      <c r="N32" s="117"/>
      <c r="O32" s="117"/>
      <c r="P32" s="117"/>
      <c r="Q32" s="117"/>
      <c r="R32" s="117"/>
      <c r="S32" s="117"/>
      <c r="T32" s="117"/>
      <c r="X32" s="112"/>
    </row>
    <row r="33" spans="2:33" ht="16.5" customHeight="1">
      <c r="B33" s="32"/>
      <c r="C33" s="36"/>
      <c r="D33" s="36"/>
      <c r="E33" s="49"/>
      <c r="F33" s="38"/>
      <c r="G33" s="9"/>
    </row>
    <row r="34" spans="2:33" ht="16.5" customHeight="1">
      <c r="C34" s="28" t="s">
        <v>37</v>
      </c>
      <c r="D34" s="28"/>
      <c r="E34" s="29"/>
      <c r="F34" s="30"/>
    </row>
    <row r="35" spans="2:33" ht="50.1" customHeight="1">
      <c r="B35" s="32"/>
      <c r="C35" s="132" t="s">
        <v>38</v>
      </c>
      <c r="D35" s="132"/>
      <c r="E35" s="41"/>
      <c r="F35" s="15"/>
      <c r="G35" s="9" t="s">
        <v>39</v>
      </c>
      <c r="J35" s="5" t="str">
        <f>IF(E41+E42=0,"",IF(E35="","メーカー名・型番を入力してください。",""))</f>
        <v/>
      </c>
    </row>
    <row r="36" spans="2:33" ht="50.1" customHeight="1">
      <c r="B36" s="32"/>
      <c r="C36" s="132" t="s">
        <v>40</v>
      </c>
      <c r="D36" s="132"/>
      <c r="E36" s="50"/>
      <c r="F36" s="15" t="s">
        <v>41</v>
      </c>
      <c r="G36" s="9" t="s">
        <v>42</v>
      </c>
      <c r="J36" s="5" t="str">
        <f>IF(E41+E42=0,"",IF(E36="","未入力です。入力してください。",""))</f>
        <v/>
      </c>
    </row>
    <row r="37" spans="2:33" ht="50.1" customHeight="1">
      <c r="B37" s="32"/>
      <c r="C37" s="132" t="s">
        <v>43</v>
      </c>
      <c r="D37" s="132"/>
      <c r="E37" s="51"/>
      <c r="F37" s="52" t="str">
        <f>IF(E36&lt;=10,"",IF(E37="家庭用","大阪南消防組合火災予防条例の規定を遵守すること",IF(E37="業務用","大阪南消防組合火災予防条例の規定を遵守すること","")))</f>
        <v/>
      </c>
      <c r="G37" s="9" t="s">
        <v>44</v>
      </c>
      <c r="J37" s="53"/>
      <c r="K37" s="141" t="s">
        <v>222</v>
      </c>
      <c r="L37" s="142"/>
      <c r="M37" s="142"/>
      <c r="N37" s="54" t="s">
        <v>45</v>
      </c>
    </row>
    <row r="38" spans="2:33" ht="50.1" customHeight="1">
      <c r="B38" s="32"/>
      <c r="C38" s="132" t="s">
        <v>46</v>
      </c>
      <c r="D38" s="132"/>
      <c r="E38" s="50"/>
      <c r="F38" s="15"/>
      <c r="G38" s="1" t="s">
        <v>47</v>
      </c>
      <c r="J38" s="5" t="str">
        <f>IF(E41+E42=0,"",IF(E37="","未選択です。選択してください。",IF(E37="家庭用",IF(E38="","未選択です。選択してください。",IF(E38="機器登録されていない","家庭用蓄電池については機器登録されていない型番は補助対象外です。","")),IF(E37="業務用",IF(E38="","","業務用蓄電池の場合は入力不要です。"),""))))</f>
        <v/>
      </c>
    </row>
    <row r="39" spans="2:33" ht="50.1" customHeight="1">
      <c r="B39" s="32"/>
      <c r="C39" s="132" t="s">
        <v>241</v>
      </c>
      <c r="D39" s="132"/>
      <c r="E39" s="44" t="str">
        <f>IF(E37="","",VLOOKUP(E37,$AF$40:$AG$41,2,))</f>
        <v/>
      </c>
      <c r="F39" s="15" t="s">
        <v>143</v>
      </c>
      <c r="G39" s="1" t="s">
        <v>48</v>
      </c>
      <c r="Y39" s="55" t="s">
        <v>49</v>
      </c>
      <c r="Z39" s="55" t="s">
        <v>50</v>
      </c>
      <c r="AA39" s="55" t="s">
        <v>51</v>
      </c>
    </row>
    <row r="40" spans="2:33" ht="50.1" customHeight="1">
      <c r="B40" s="32"/>
      <c r="C40" s="132" t="s">
        <v>52</v>
      </c>
      <c r="D40" s="132"/>
      <c r="E40" s="44" t="str">
        <f>IF(E36="","",E36*51000)</f>
        <v/>
      </c>
      <c r="F40" s="15" t="s">
        <v>53</v>
      </c>
      <c r="G40" s="9" t="s">
        <v>30</v>
      </c>
      <c r="J40" s="5" t="str">
        <f>IF(E14="利用する","FIT・FIP制度を利用する場合は太陽光発電設備・蓄電池の補助は対象外となります。","")</f>
        <v/>
      </c>
      <c r="Y40" s="55" t="s">
        <v>54</v>
      </c>
      <c r="Z40" s="102">
        <v>2</v>
      </c>
      <c r="AA40" s="102">
        <v>9.6</v>
      </c>
      <c r="AF40" s="55" t="s">
        <v>55</v>
      </c>
      <c r="AG40" s="102">
        <v>125000</v>
      </c>
    </row>
    <row r="41" spans="2:33" ht="50.1" customHeight="1">
      <c r="B41" s="32"/>
      <c r="C41" s="143" t="s">
        <v>56</v>
      </c>
      <c r="D41" s="144"/>
      <c r="E41" s="45"/>
      <c r="F41" s="15" t="s">
        <v>57</v>
      </c>
      <c r="G41" s="9" t="s">
        <v>33</v>
      </c>
      <c r="M41" s="146" t="s">
        <v>58</v>
      </c>
      <c r="N41" s="146"/>
      <c r="O41" s="146"/>
      <c r="P41" s="146"/>
      <c r="Q41" s="146"/>
      <c r="R41" s="146"/>
      <c r="S41" s="146"/>
      <c r="T41" s="146"/>
      <c r="Y41" s="55" t="s">
        <v>59</v>
      </c>
      <c r="Z41" s="102">
        <v>1.2</v>
      </c>
      <c r="AA41" s="102">
        <v>5.76</v>
      </c>
      <c r="AF41" s="55" t="s">
        <v>60</v>
      </c>
      <c r="AG41" s="102">
        <v>119000</v>
      </c>
    </row>
    <row r="42" spans="2:33" ht="50.1" customHeight="1">
      <c r="B42" s="32"/>
      <c r="C42" s="143" t="s">
        <v>61</v>
      </c>
      <c r="D42" s="144"/>
      <c r="E42" s="45"/>
      <c r="F42" s="15" t="s">
        <v>57</v>
      </c>
      <c r="G42" s="9" t="s">
        <v>36</v>
      </c>
      <c r="M42" s="149" t="s">
        <v>62</v>
      </c>
      <c r="N42" s="149"/>
      <c r="O42" s="149"/>
      <c r="P42" s="149"/>
      <c r="Q42" s="149"/>
      <c r="R42" s="149"/>
      <c r="S42" s="149"/>
      <c r="T42" s="149"/>
      <c r="Y42" s="55" t="s">
        <v>63</v>
      </c>
      <c r="Z42" s="102">
        <v>1.2</v>
      </c>
      <c r="AA42" s="102">
        <v>5.76</v>
      </c>
    </row>
    <row r="43" spans="2:33" ht="50.1" customHeight="1">
      <c r="B43" s="32"/>
      <c r="C43" s="139" t="s">
        <v>197</v>
      </c>
      <c r="D43" s="140"/>
      <c r="E43" s="97">
        <f>+E41+E42</f>
        <v>0</v>
      </c>
      <c r="F43" s="15" t="s">
        <v>185</v>
      </c>
      <c r="G43" s="9" t="s">
        <v>180</v>
      </c>
      <c r="M43" s="95"/>
      <c r="N43" s="95"/>
      <c r="O43" s="95"/>
      <c r="P43" s="95"/>
      <c r="Q43" s="95"/>
      <c r="R43" s="95"/>
      <c r="S43" s="95"/>
      <c r="T43" s="95"/>
      <c r="Y43" s="55"/>
      <c r="Z43" s="55"/>
      <c r="AA43" s="55"/>
    </row>
    <row r="44" spans="2:33" ht="50.1" customHeight="1">
      <c r="B44" s="32"/>
      <c r="C44" s="139" t="s">
        <v>200</v>
      </c>
      <c r="D44" s="140"/>
      <c r="E44" s="45"/>
      <c r="F44" s="15" t="s">
        <v>179</v>
      </c>
      <c r="G44" s="9" t="s">
        <v>181</v>
      </c>
      <c r="M44" s="95"/>
      <c r="N44" s="95"/>
      <c r="O44" s="95"/>
      <c r="P44" s="95"/>
      <c r="Q44" s="95"/>
      <c r="R44" s="95"/>
      <c r="S44" s="95"/>
      <c r="T44" s="95"/>
      <c r="Y44" s="55"/>
      <c r="Z44" s="55"/>
      <c r="AA44" s="55"/>
    </row>
    <row r="45" spans="2:33" ht="50.1" customHeight="1">
      <c r="B45" s="32"/>
      <c r="C45" s="150" t="s">
        <v>64</v>
      </c>
      <c r="D45" s="150"/>
      <c r="E45" s="44">
        <f>IF(E41+E42-E44="","",E41+E42-E44)</f>
        <v>0</v>
      </c>
      <c r="F45" s="15" t="s">
        <v>186</v>
      </c>
      <c r="G45" s="9" t="s">
        <v>182</v>
      </c>
      <c r="H45" s="46"/>
      <c r="I45" s="46"/>
      <c r="M45" s="151" t="s">
        <v>65</v>
      </c>
      <c r="N45" s="151"/>
      <c r="O45" s="151"/>
      <c r="P45" s="151"/>
      <c r="Q45" s="151"/>
      <c r="R45" s="151"/>
      <c r="S45" s="151"/>
      <c r="T45" s="151"/>
      <c r="Y45" s="55" t="s">
        <v>66</v>
      </c>
      <c r="Z45" s="102">
        <v>3.7</v>
      </c>
      <c r="AA45" s="102">
        <v>17.760000000000002</v>
      </c>
    </row>
    <row r="46" spans="2:33" ht="50.1" customHeight="1">
      <c r="B46" s="32"/>
      <c r="C46" s="132" t="s">
        <v>67</v>
      </c>
      <c r="D46" s="150"/>
      <c r="E46" s="44">
        <f>IF(E45="","",ROUNDDOWN(E45/3,0))</f>
        <v>0</v>
      </c>
      <c r="F46" s="15" t="s">
        <v>187</v>
      </c>
      <c r="G46" s="9" t="s">
        <v>183</v>
      </c>
      <c r="H46" s="119"/>
      <c r="I46" s="119"/>
      <c r="J46" s="5" t="str">
        <f>IF(E15="使用する（今回新たに設置・今回取替）","コージェネレーションシステムを使用する場合は太陽光発電設備・蓄電池の補助は対象外となります。",IF(E15="使用する（従来から設置するものを）","コージェネレーションシステムを使用する場合は太陽光発電設備・蓄電池の補助は対象外となります。",""))</f>
        <v/>
      </c>
      <c r="M46" s="56"/>
      <c r="N46" s="56"/>
      <c r="O46" s="56"/>
      <c r="P46" s="56"/>
      <c r="Q46" s="56"/>
      <c r="R46" s="56"/>
      <c r="S46" s="56"/>
      <c r="T46" s="56"/>
      <c r="Y46" s="55" t="s">
        <v>70</v>
      </c>
      <c r="Z46" s="102">
        <v>2</v>
      </c>
      <c r="AA46" s="102">
        <v>9.6</v>
      </c>
    </row>
    <row r="47" spans="2:33" s="110" customFormat="1" ht="50.1" customHeight="1" thickBot="1">
      <c r="B47" s="116"/>
      <c r="C47" s="135" t="s">
        <v>71</v>
      </c>
      <c r="D47" s="136"/>
      <c r="E47" s="118" t="str">
        <f>IF(E45="","",IF(E36="","",E45/ROUND(E36,2)))</f>
        <v/>
      </c>
      <c r="F47" s="52" t="s">
        <v>242</v>
      </c>
      <c r="G47" s="113" t="s">
        <v>184</v>
      </c>
      <c r="H47" s="145" t="s">
        <v>69</v>
      </c>
      <c r="I47" s="145"/>
      <c r="J47" s="111"/>
      <c r="M47" s="57"/>
      <c r="N47" s="57"/>
      <c r="O47" s="57"/>
      <c r="P47" s="57"/>
      <c r="Q47" s="57"/>
      <c r="R47" s="57"/>
      <c r="S47" s="57"/>
      <c r="T47" s="57"/>
      <c r="X47" s="112"/>
      <c r="Y47" s="122" t="s">
        <v>72</v>
      </c>
      <c r="Z47" s="102">
        <v>3.2</v>
      </c>
      <c r="AA47" s="102">
        <v>15.36</v>
      </c>
    </row>
    <row r="48" spans="2:33" ht="50.1" customHeight="1" thickBot="1">
      <c r="B48" s="32"/>
      <c r="C48" s="135" t="str">
        <f>IF(E39="","機器の選定等において容量あたりの価格が基準となる金額以下になるように努めたか否か","機器の選定等において容量あたりの価格が"&amp;E39&amp;"円/kWh以下になるように努めたか否か")</f>
        <v>機器の選定等において容量あたりの価格が基準となる金額以下になるように努めたか否か</v>
      </c>
      <c r="D48" s="136"/>
      <c r="E48" s="50"/>
      <c r="F48" s="52" t="str">
        <f>IF(E45="","",IF(E47&gt;E39,"蓄電池1kWあたりの補助対象費用（M）が基準（E）を上回る場合は入力必須です。",""))</f>
        <v/>
      </c>
      <c r="G48" s="9" t="s">
        <v>243</v>
      </c>
      <c r="H48" s="35" t="str">
        <f>IF(E35="","",IF(E37="業務用",IF(H30="○",IF(E47=0,"",IF(E47&lt;=E39,"○",IF(E48="努めた","○",""))),""),IF(E37="家庭用",IF(E38="機器登録されている",IF(H30="○",IF(E47=0,"",IF(E47&lt;=E39,"○",IF(E48="努めた","○",""))),""),""))))</f>
        <v/>
      </c>
      <c r="J48" s="5" t="str">
        <f>IF(E48="努めた","",IF(E45="","",IF(E47&gt;E39,"蓄電池1kWあたりの補助対象費用（M）が基準（E）を上回る場合は入力必須です。","")))</f>
        <v/>
      </c>
      <c r="M48" s="57"/>
      <c r="N48" s="57"/>
      <c r="O48" s="57"/>
      <c r="P48" s="57"/>
      <c r="Q48" s="57"/>
      <c r="R48" s="57"/>
      <c r="S48" s="57"/>
      <c r="T48" s="57"/>
      <c r="Y48" s="55" t="s">
        <v>72</v>
      </c>
      <c r="Z48" s="102">
        <v>3.2</v>
      </c>
      <c r="AA48" s="102">
        <v>15.36</v>
      </c>
    </row>
    <row r="49" spans="2:26" ht="50.1" customHeight="1" thickBot="1">
      <c r="B49" s="32"/>
      <c r="C49" s="128" t="s">
        <v>248</v>
      </c>
      <c r="D49" s="129"/>
      <c r="E49" s="47">
        <f>IF(H48="○",IF(E36="",0,ROUNDDOWN(MIN(E40,E46,750000),-3)),0)</f>
        <v>0</v>
      </c>
      <c r="F49" s="48" t="s">
        <v>247</v>
      </c>
      <c r="G49" s="9" t="s">
        <v>244</v>
      </c>
      <c r="J49" s="5" t="str">
        <f>IF(E37="","",IF(H30="○","","蓄電池の補助については太陽光発電設備の補助との併用が要件です。"))</f>
        <v/>
      </c>
      <c r="M49" s="57"/>
      <c r="N49" s="57"/>
      <c r="O49" s="57"/>
      <c r="P49" s="57"/>
      <c r="Q49" s="57"/>
      <c r="R49" s="57"/>
      <c r="S49" s="57"/>
      <c r="T49" s="57"/>
    </row>
    <row r="50" spans="2:26" ht="16.5" customHeight="1">
      <c r="B50" s="32"/>
      <c r="C50" s="36"/>
      <c r="D50" s="36"/>
      <c r="E50" s="49"/>
      <c r="F50" s="38"/>
      <c r="G50" s="9"/>
    </row>
    <row r="51" spans="2:26" ht="16.5" customHeight="1">
      <c r="C51" s="28" t="s">
        <v>73</v>
      </c>
      <c r="D51" s="28"/>
      <c r="E51" s="29"/>
      <c r="F51" s="30"/>
    </row>
    <row r="52" spans="2:26" ht="50.1" customHeight="1">
      <c r="B52" s="32"/>
      <c r="C52" s="132" t="s">
        <v>74</v>
      </c>
      <c r="D52" s="132"/>
      <c r="E52" s="58"/>
      <c r="F52" s="15"/>
      <c r="G52" s="9" t="s">
        <v>39</v>
      </c>
      <c r="J52" s="5" t="str">
        <f>IF(E55+E56=0,"",IF(E52="","メーカー名・型番を入力してください。",""))</f>
        <v/>
      </c>
      <c r="Y52" s="59"/>
      <c r="Z52" s="59"/>
    </row>
    <row r="53" spans="2:26" ht="50.1" customHeight="1">
      <c r="B53" s="32"/>
      <c r="C53" s="132" t="s">
        <v>75</v>
      </c>
      <c r="D53" s="132"/>
      <c r="E53" s="60"/>
      <c r="F53" s="15" t="s">
        <v>144</v>
      </c>
      <c r="G53" s="9" t="s">
        <v>19</v>
      </c>
      <c r="J53" s="5" t="str">
        <f>IF(E55+E56=0,"",IF(E53="","未選択です。選択してください。",IF(E53="","",IF(E54="",IF(Y55="対象外","新設する機器の種類に補助対象外のものが選択されています。",""),IF(Y56="対象外","今回設置する機器の種類・交換前の機器の種類の組み合わせとして補助対象外のものが選択されています。","")))))</f>
        <v/>
      </c>
      <c r="Y53" s="55" t="e">
        <f>VLOOKUP(E53,$Z$121:$AB$135,2,)</f>
        <v>#N/A</v>
      </c>
      <c r="Z53" s="55" t="e">
        <f>VLOOKUP(E53,$Z$121:$AB$135,3,)</f>
        <v>#N/A</v>
      </c>
    </row>
    <row r="54" spans="2:26" ht="50.1" customHeight="1">
      <c r="B54" s="32"/>
      <c r="C54" s="132" t="s">
        <v>76</v>
      </c>
      <c r="D54" s="132"/>
      <c r="E54" s="60"/>
      <c r="F54" s="15" t="s">
        <v>144</v>
      </c>
      <c r="G54" s="9" t="s">
        <v>22</v>
      </c>
      <c r="J54" s="5" t="str">
        <f>IF(E53="","",IF(E54="",IF(Y55="対象外","",""),IF(Y56="対象外","今回設置する機器の種類・交換前の機器の種類の組み合わせとして補助対象外のものが選択されています。","")))</f>
        <v/>
      </c>
      <c r="Y54" s="55" t="e">
        <f>VLOOKUP(E54,$Z$121:$AB$135,2,)</f>
        <v>#N/A</v>
      </c>
      <c r="Z54" s="55" t="e">
        <f>VLOOKUP(E54,$Z$121:$AB$135,3,)</f>
        <v>#N/A</v>
      </c>
    </row>
    <row r="55" spans="2:26" ht="50.1" customHeight="1">
      <c r="B55" s="32"/>
      <c r="C55" s="143" t="s">
        <v>77</v>
      </c>
      <c r="D55" s="144"/>
      <c r="E55" s="45"/>
      <c r="F55" s="15" t="s">
        <v>29</v>
      </c>
      <c r="G55" s="9" t="s">
        <v>47</v>
      </c>
      <c r="L55" s="141" t="s">
        <v>78</v>
      </c>
      <c r="M55" s="142"/>
      <c r="N55" s="142"/>
      <c r="Y55" s="55" t="e">
        <f>IF(E54="",VLOOKUP(E53,'高効率給湯器（新設）'!$A$3:$B$17,2))</f>
        <v>#N/A</v>
      </c>
      <c r="Z55" s="61"/>
    </row>
    <row r="56" spans="2:26" ht="50.1" customHeight="1">
      <c r="B56" s="32"/>
      <c r="C56" s="143" t="s">
        <v>79</v>
      </c>
      <c r="D56" s="144"/>
      <c r="E56" s="45"/>
      <c r="F56" s="15" t="s">
        <v>29</v>
      </c>
      <c r="G56" s="9" t="s">
        <v>48</v>
      </c>
      <c r="L56" s="141" t="s">
        <v>80</v>
      </c>
      <c r="M56" s="142"/>
      <c r="N56" s="142"/>
      <c r="Y56" s="55" t="e">
        <f>INDEX('高効率給湯器（交換）'!$B$2:$P$16,Y54,Y53)</f>
        <v>#N/A</v>
      </c>
    </row>
    <row r="57" spans="2:26" ht="50.1" customHeight="1">
      <c r="B57" s="32"/>
      <c r="C57" s="139" t="s">
        <v>197</v>
      </c>
      <c r="D57" s="140"/>
      <c r="E57" s="97">
        <f>+E55+E56</f>
        <v>0</v>
      </c>
      <c r="F57" s="15" t="s">
        <v>82</v>
      </c>
      <c r="G57" s="9" t="s">
        <v>188</v>
      </c>
      <c r="H57" s="91"/>
      <c r="I57" s="91"/>
      <c r="L57" s="92"/>
      <c r="M57" s="93"/>
      <c r="N57" s="99"/>
      <c r="Y57" s="98"/>
    </row>
    <row r="58" spans="2:26" ht="50.1" customHeight="1" thickBot="1">
      <c r="B58" s="32"/>
      <c r="C58" s="139" t="s">
        <v>200</v>
      </c>
      <c r="D58" s="140"/>
      <c r="E58" s="45"/>
      <c r="F58" s="15" t="s">
        <v>179</v>
      </c>
      <c r="G58" s="9" t="s">
        <v>189</v>
      </c>
      <c r="H58" s="145" t="s">
        <v>34</v>
      </c>
      <c r="I58" s="145"/>
      <c r="L58" s="92"/>
      <c r="M58" s="93"/>
      <c r="N58" s="99"/>
      <c r="Y58" s="98"/>
    </row>
    <row r="59" spans="2:26" ht="50.1" customHeight="1" thickBot="1">
      <c r="B59" s="32"/>
      <c r="C59" s="143" t="s">
        <v>81</v>
      </c>
      <c r="D59" s="144"/>
      <c r="E59" s="44" t="str">
        <f>IF(H59="○",IF(E55+E56-E58=0,"",E55+E56-E58),"")</f>
        <v/>
      </c>
      <c r="F59" s="15" t="s">
        <v>192</v>
      </c>
      <c r="G59" s="9" t="s">
        <v>190</v>
      </c>
      <c r="H59" s="35" t="str">
        <f>IF(H15="○",IF(E13="設置されていなかった（今回設置しない）","",IF(E52="","",IF(E54="",Y55,INDEX('高効率給湯器（交換）'!$B$2:$P$16,Y54,Y53)))),"")</f>
        <v/>
      </c>
      <c r="I59" s="46"/>
      <c r="M59" s="146" t="s">
        <v>58</v>
      </c>
      <c r="N59" s="146"/>
      <c r="O59" s="146"/>
      <c r="P59" s="146"/>
      <c r="Q59" s="146"/>
      <c r="R59" s="146"/>
      <c r="S59" s="146"/>
      <c r="T59" s="146"/>
    </row>
    <row r="60" spans="2:26" ht="50.1" customHeight="1" thickBot="1">
      <c r="B60" s="32"/>
      <c r="C60" s="130" t="s">
        <v>173</v>
      </c>
      <c r="D60" s="131"/>
      <c r="E60" s="47">
        <f>IF(H59="○",IF(E59="",0,IF(E59*0.5&lt;200000,ROUNDDOWN(E59*0.5,-3),200000)),0)</f>
        <v>0</v>
      </c>
      <c r="F60" s="48" t="s">
        <v>29</v>
      </c>
      <c r="G60" s="9" t="s">
        <v>191</v>
      </c>
      <c r="J60" s="5" t="str">
        <f>IF(E13="設置されていなかった（今回設置しない）","太陽光発電設備が設置されない場合は高効率給湯器は対象外となります。","")</f>
        <v/>
      </c>
    </row>
    <row r="61" spans="2:26" ht="15.75" customHeight="1">
      <c r="B61" s="32"/>
      <c r="C61" s="36"/>
      <c r="D61" s="36"/>
      <c r="E61" s="49"/>
      <c r="F61" s="38"/>
      <c r="G61" s="9"/>
    </row>
    <row r="62" spans="2:26" ht="16.5" customHeight="1">
      <c r="C62" s="62" t="s">
        <v>147</v>
      </c>
      <c r="D62" s="28"/>
      <c r="E62" s="29"/>
      <c r="F62" s="30"/>
    </row>
    <row r="63" spans="2:26" ht="50.1" customHeight="1">
      <c r="B63" s="32"/>
      <c r="C63" s="132" t="s">
        <v>83</v>
      </c>
      <c r="D63" s="132"/>
      <c r="E63" s="41"/>
      <c r="F63" s="15"/>
      <c r="G63" s="9" t="s">
        <v>39</v>
      </c>
      <c r="J63" s="5" t="str">
        <f>IF(E66+E67=0,"",IF(E63="","メーカー名・型番を入力してください。",""))</f>
        <v/>
      </c>
    </row>
    <row r="64" spans="2:26" ht="50.1" customHeight="1">
      <c r="B64" s="32"/>
      <c r="C64" s="132" t="s">
        <v>84</v>
      </c>
      <c r="D64" s="132"/>
      <c r="E64" s="41"/>
      <c r="F64" s="15"/>
      <c r="G64" s="9" t="s">
        <v>42</v>
      </c>
      <c r="J64" s="53"/>
      <c r="K64" s="141" t="s">
        <v>85</v>
      </c>
      <c r="L64" s="142"/>
      <c r="M64" s="142"/>
      <c r="N64" s="142"/>
      <c r="O64" s="54" t="s">
        <v>86</v>
      </c>
    </row>
    <row r="65" spans="2:20" ht="50.1" customHeight="1">
      <c r="B65" s="32"/>
      <c r="C65" s="132" t="s">
        <v>87</v>
      </c>
      <c r="D65" s="132"/>
      <c r="E65" s="50"/>
      <c r="F65" s="15"/>
      <c r="G65" s="9" t="s">
        <v>44</v>
      </c>
      <c r="J65" s="5" t="str">
        <f>IF(E66+E67=0,"",IF(E65="機器登録されていない","機器登録されていない型番は補助対象外です。",IF(E65="","未選択です。選択してください。","")))</f>
        <v/>
      </c>
    </row>
    <row r="66" spans="2:20" ht="50.1" customHeight="1">
      <c r="B66" s="32"/>
      <c r="C66" s="143" t="s">
        <v>88</v>
      </c>
      <c r="D66" s="144"/>
      <c r="E66" s="45"/>
      <c r="F66" s="15" t="s">
        <v>29</v>
      </c>
      <c r="G66" s="9" t="s">
        <v>47</v>
      </c>
      <c r="J66" s="5" t="str">
        <f>IF(E15="使用する（従来から設置するものを）","従来から設置するものを引き続き使用する場合は対象外となります。","")</f>
        <v/>
      </c>
    </row>
    <row r="67" spans="2:20" ht="50.1" customHeight="1">
      <c r="B67" s="32"/>
      <c r="C67" s="143" t="s">
        <v>89</v>
      </c>
      <c r="D67" s="144"/>
      <c r="E67" s="45"/>
      <c r="F67" s="15" t="s">
        <v>29</v>
      </c>
      <c r="G67" s="9" t="s">
        <v>48</v>
      </c>
      <c r="J67" s="5" t="str">
        <f>IF(E13="設置されていなかった（今回設置しない）","太陽光発電設備が設置されない場合はコージェネレーションシステムは対象外となります。","")</f>
        <v/>
      </c>
    </row>
    <row r="68" spans="2:20" ht="50.1" customHeight="1">
      <c r="B68" s="32"/>
      <c r="C68" s="139" t="s">
        <v>197</v>
      </c>
      <c r="D68" s="140"/>
      <c r="E68" s="97">
        <f>+E66+E67</f>
        <v>0</v>
      </c>
      <c r="F68" s="15" t="s">
        <v>179</v>
      </c>
      <c r="G68" s="9" t="s">
        <v>193</v>
      </c>
      <c r="H68" s="91"/>
      <c r="I68" s="91"/>
    </row>
    <row r="69" spans="2:20" ht="50.1" customHeight="1" thickBot="1">
      <c r="B69" s="32"/>
      <c r="C69" s="139" t="s">
        <v>200</v>
      </c>
      <c r="D69" s="140"/>
      <c r="E69" s="45"/>
      <c r="F69" s="15" t="s">
        <v>179</v>
      </c>
      <c r="G69" s="9" t="s">
        <v>194</v>
      </c>
      <c r="H69" s="145" t="s">
        <v>34</v>
      </c>
      <c r="I69" s="145"/>
    </row>
    <row r="70" spans="2:20" ht="50.1" customHeight="1" thickBot="1">
      <c r="B70" s="32"/>
      <c r="C70" s="135" t="s">
        <v>90</v>
      </c>
      <c r="D70" s="136"/>
      <c r="E70" s="44" t="str">
        <f>IF(H70="○",IF(E66+E67-E69=0,"",E66+E67-E69),"")</f>
        <v/>
      </c>
      <c r="F70" s="15" t="s">
        <v>192</v>
      </c>
      <c r="G70" s="9" t="s">
        <v>190</v>
      </c>
      <c r="H70" s="35" t="str">
        <f>IF(H15="○",IF(E15="使用する（従来から設置するものを）","",IF(E13="設置されていなかった（今回設置しない）","",IF(E15="使用しない","",IF(E63="","",IF(E65="機器登録されている","○",""))))),"")</f>
        <v/>
      </c>
      <c r="I70" s="46"/>
      <c r="J70" s="5" t="str">
        <f>IF(E66+E67=0,"",IF(E15="使用しない","「１」でコージェネについて「使用しない」を選択している。",""))</f>
        <v/>
      </c>
      <c r="M70" s="56"/>
      <c r="N70" s="56"/>
      <c r="O70" s="56"/>
      <c r="P70" s="56"/>
      <c r="Q70" s="56"/>
      <c r="R70" s="56"/>
      <c r="S70" s="56"/>
      <c r="T70" s="56"/>
    </row>
    <row r="71" spans="2:20" ht="50.1" customHeight="1" thickBot="1">
      <c r="B71" s="32"/>
      <c r="C71" s="130" t="s">
        <v>91</v>
      </c>
      <c r="D71" s="131"/>
      <c r="E71" s="47">
        <f>IF(H70="○",IF(E70="",0,IF(E70*0.5&lt;500000,ROUNDDOWN(E70*0.5,-3),500000)),0)</f>
        <v>0</v>
      </c>
      <c r="F71" s="48" t="s">
        <v>29</v>
      </c>
      <c r="G71" s="9" t="s">
        <v>195</v>
      </c>
      <c r="M71" s="146" t="s">
        <v>58</v>
      </c>
      <c r="N71" s="146"/>
      <c r="O71" s="146"/>
      <c r="P71" s="146"/>
      <c r="Q71" s="146"/>
      <c r="R71" s="146"/>
      <c r="S71" s="146"/>
      <c r="T71" s="146"/>
    </row>
    <row r="72" spans="2:20" ht="15.75" customHeight="1">
      <c r="B72" s="32"/>
      <c r="C72" s="36"/>
      <c r="D72" s="36"/>
      <c r="E72" s="49"/>
      <c r="F72" s="38"/>
      <c r="G72" s="9"/>
    </row>
    <row r="73" spans="2:20" ht="16.5" customHeight="1">
      <c r="C73" s="62" t="s">
        <v>148</v>
      </c>
      <c r="D73" s="28"/>
      <c r="E73" s="29"/>
      <c r="F73" s="30"/>
    </row>
    <row r="74" spans="2:20" ht="50.1" customHeight="1">
      <c r="B74" s="32"/>
      <c r="C74" s="132" t="s">
        <v>150</v>
      </c>
      <c r="D74" s="132"/>
      <c r="E74" s="96"/>
      <c r="F74" s="15"/>
      <c r="G74" s="9" t="s">
        <v>39</v>
      </c>
      <c r="J74" s="5" t="str">
        <f>IF($E$82=0,"",IF(E74="","ブランド（メーカー）を入力してください。",""))</f>
        <v/>
      </c>
      <c r="K74" s="89"/>
      <c r="O74" s="54"/>
    </row>
    <row r="75" spans="2:20" ht="50.1" customHeight="1">
      <c r="B75" s="32"/>
      <c r="C75" s="132" t="s">
        <v>151</v>
      </c>
      <c r="D75" s="132"/>
      <c r="E75" s="96"/>
      <c r="F75" s="15"/>
      <c r="G75" s="9" t="s">
        <v>159</v>
      </c>
      <c r="J75" s="5" t="str">
        <f>IF($E$82=0,"",IF(E75="","車名を入力してください。",""))</f>
        <v/>
      </c>
    </row>
    <row r="76" spans="2:20" ht="50.1" customHeight="1">
      <c r="B76" s="32"/>
      <c r="C76" s="132" t="s">
        <v>152</v>
      </c>
      <c r="D76" s="132"/>
      <c r="E76" s="96"/>
      <c r="F76" s="15"/>
      <c r="G76" s="9" t="s">
        <v>160</v>
      </c>
      <c r="J76" s="5" t="str">
        <f>IF($E$82=0,"",IF(E76="","グレードを入力してください。",""))</f>
        <v/>
      </c>
    </row>
    <row r="77" spans="2:20" ht="50.1" customHeight="1">
      <c r="B77" s="32"/>
      <c r="C77" s="132" t="s">
        <v>212</v>
      </c>
      <c r="D77" s="132"/>
      <c r="E77" s="90"/>
      <c r="F77" s="101" t="s">
        <v>223</v>
      </c>
      <c r="G77" s="9" t="s">
        <v>161</v>
      </c>
      <c r="J77" s="5" t="str">
        <f>IF($E$82=0,"",IF(E77="","CEV補助金の「銘柄ごとの補助金交付額」を入力してください。",""))</f>
        <v/>
      </c>
      <c r="M77" s="89" t="s">
        <v>153</v>
      </c>
      <c r="P77" s="54" t="s">
        <v>154</v>
      </c>
    </row>
    <row r="78" spans="2:20" ht="50.1" customHeight="1">
      <c r="B78" s="32"/>
      <c r="C78" s="132" t="s">
        <v>201</v>
      </c>
      <c r="D78" s="132"/>
      <c r="E78" s="100"/>
      <c r="F78" s="15"/>
      <c r="G78" s="9" t="s">
        <v>27</v>
      </c>
      <c r="J78" s="5" t="str">
        <f>IF($E$82=0,"",IF(E78="","プルダウンから選択してください。",IF(E78="電気自動車","","補助対象外です。")))</f>
        <v/>
      </c>
      <c r="M78" s="89" t="s">
        <v>153</v>
      </c>
      <c r="P78" s="54" t="s">
        <v>154</v>
      </c>
    </row>
    <row r="79" spans="2:20" ht="50.1" customHeight="1">
      <c r="B79" s="32"/>
      <c r="C79" s="132" t="s">
        <v>219</v>
      </c>
      <c r="D79" s="132"/>
      <c r="E79" s="100"/>
      <c r="F79" s="15"/>
      <c r="G79" s="9" t="s">
        <v>202</v>
      </c>
      <c r="J79" s="5" t="str">
        <f>IF(E79="不可","補助対象外です。",IF($E$82=0,"",IF(E79="","プルダウンから選択してください。","")))</f>
        <v/>
      </c>
      <c r="M79" s="89" t="s">
        <v>153</v>
      </c>
      <c r="P79" s="54" t="s">
        <v>154</v>
      </c>
    </row>
    <row r="80" spans="2:20" ht="50.1" customHeight="1">
      <c r="B80" s="32"/>
      <c r="C80" s="132" t="s">
        <v>199</v>
      </c>
      <c r="D80" s="132"/>
      <c r="E80" s="100"/>
      <c r="F80" s="15" t="s">
        <v>155</v>
      </c>
      <c r="G80" s="9" t="s">
        <v>203</v>
      </c>
      <c r="J80" s="5" t="str">
        <f>IF($E$82=0,"",IF(E80="","電池容量を入力してください。",""))</f>
        <v/>
      </c>
      <c r="K80" s="147"/>
      <c r="L80" s="148"/>
      <c r="M80" s="148"/>
      <c r="N80" s="148"/>
      <c r="O80" s="54"/>
    </row>
    <row r="81" spans="2:20" ht="50.1" customHeight="1">
      <c r="B81" s="32"/>
      <c r="C81" s="132" t="s">
        <v>157</v>
      </c>
      <c r="D81" s="132"/>
      <c r="E81" s="97" t="str">
        <f>IF(E74="","",E80*0.5*40000)</f>
        <v/>
      </c>
      <c r="F81" s="15" t="s">
        <v>179</v>
      </c>
      <c r="G81" s="9" t="s">
        <v>204</v>
      </c>
    </row>
    <row r="82" spans="2:20" ht="50.1" customHeight="1">
      <c r="B82" s="32"/>
      <c r="C82" s="143" t="s">
        <v>156</v>
      </c>
      <c r="D82" s="144"/>
      <c r="E82" s="45"/>
      <c r="F82" s="15" t="s">
        <v>29</v>
      </c>
      <c r="G82" s="9" t="s">
        <v>205</v>
      </c>
      <c r="J82" s="5" t="str">
        <f>IF($E$82=0,"",IF(E82="","購入費を入力してください。",""))</f>
        <v/>
      </c>
    </row>
    <row r="83" spans="2:20" ht="50.1" customHeight="1">
      <c r="B83" s="32"/>
      <c r="C83" s="139" t="s">
        <v>197</v>
      </c>
      <c r="D83" s="140"/>
      <c r="E83" s="97">
        <f>+E82</f>
        <v>0</v>
      </c>
      <c r="F83" s="15" t="s">
        <v>210</v>
      </c>
      <c r="G83" s="9" t="s">
        <v>206</v>
      </c>
      <c r="H83" s="91"/>
      <c r="I83" s="91"/>
    </row>
    <row r="84" spans="2:20" ht="50.1" customHeight="1" thickBot="1">
      <c r="B84" s="32"/>
      <c r="C84" s="139" t="s">
        <v>200</v>
      </c>
      <c r="D84" s="140"/>
      <c r="E84" s="45"/>
      <c r="F84" s="15" t="s">
        <v>179</v>
      </c>
      <c r="G84" s="9" t="s">
        <v>207</v>
      </c>
      <c r="H84" s="145" t="s">
        <v>34</v>
      </c>
      <c r="I84" s="145"/>
    </row>
    <row r="85" spans="2:20" ht="50.1" customHeight="1" thickBot="1">
      <c r="B85" s="32"/>
      <c r="C85" s="143" t="s">
        <v>158</v>
      </c>
      <c r="D85" s="144"/>
      <c r="E85" s="44" t="str">
        <f>IF(H85="○",E82-E84,"")</f>
        <v/>
      </c>
      <c r="F85" s="15" t="s">
        <v>211</v>
      </c>
      <c r="G85" s="9" t="s">
        <v>208</v>
      </c>
      <c r="H85" s="35" t="str">
        <f>IF(E77="","",IF(E79="","",IF(E79="不可","",IF(H30="○",IF(E74="","",IF(E78="電気自動車","○","")),""))))</f>
        <v/>
      </c>
      <c r="I85" s="85"/>
      <c r="J85" s="5" t="str">
        <f>IF(E78="","",IF(H30="○","","電気自動車の補助については太陽光発電設備の補助との併用が要件です。"))</f>
        <v/>
      </c>
      <c r="M85" s="86"/>
      <c r="N85" s="86"/>
      <c r="O85" s="86"/>
      <c r="P85" s="86"/>
      <c r="Q85" s="86"/>
      <c r="R85" s="86"/>
      <c r="S85" s="86"/>
      <c r="T85" s="86"/>
    </row>
    <row r="86" spans="2:20" ht="50.1" customHeight="1" thickBot="1">
      <c r="B86" s="32"/>
      <c r="C86" s="130" t="s">
        <v>162</v>
      </c>
      <c r="D86" s="131"/>
      <c r="E86" s="47">
        <f>IF(H85="○",IF(E85="",0,MIN(ROUNDDOWN(E80*0.5*40000,-3),850000,E77*1000)),0)</f>
        <v>0</v>
      </c>
      <c r="F86" s="48" t="s">
        <v>29</v>
      </c>
      <c r="G86" s="9" t="s">
        <v>209</v>
      </c>
      <c r="M86" s="146" t="s">
        <v>58</v>
      </c>
      <c r="N86" s="146"/>
      <c r="O86" s="146"/>
      <c r="P86" s="146"/>
      <c r="Q86" s="146"/>
      <c r="R86" s="146"/>
      <c r="S86" s="146"/>
      <c r="T86" s="146"/>
    </row>
    <row r="87" spans="2:20" ht="15.75" customHeight="1">
      <c r="B87" s="32"/>
      <c r="C87" s="36"/>
      <c r="D87" s="36"/>
      <c r="E87" s="49"/>
      <c r="F87" s="38"/>
      <c r="G87" s="9"/>
    </row>
    <row r="88" spans="2:20" ht="16.5" customHeight="1">
      <c r="C88" s="62" t="s">
        <v>149</v>
      </c>
      <c r="D88" s="28"/>
      <c r="E88" s="29"/>
      <c r="F88" s="30"/>
    </row>
    <row r="89" spans="2:20" ht="50.1" customHeight="1">
      <c r="B89" s="32"/>
      <c r="C89" s="132" t="s">
        <v>165</v>
      </c>
      <c r="D89" s="132"/>
      <c r="E89" s="96"/>
      <c r="F89" s="15"/>
      <c r="G89" s="9" t="s">
        <v>39</v>
      </c>
      <c r="J89" s="5" t="str">
        <f>IF($E$94+$E$95=0,"",IF(E89="",C89&amp;"を入力してください。",""))</f>
        <v/>
      </c>
      <c r="K89" s="89"/>
      <c r="O89" s="54"/>
    </row>
    <row r="90" spans="2:20" ht="50.1" customHeight="1">
      <c r="B90" s="32"/>
      <c r="C90" s="132" t="s">
        <v>166</v>
      </c>
      <c r="D90" s="132"/>
      <c r="E90" s="96"/>
      <c r="F90" s="15"/>
      <c r="G90" s="9" t="s">
        <v>159</v>
      </c>
      <c r="J90" s="5" t="str">
        <f t="shared" ref="J90:J95" si="0">IF($E$94+$E$95=0,"",IF(E90="",C90&amp;"を入力してください。",""))</f>
        <v/>
      </c>
    </row>
    <row r="91" spans="2:20" ht="50.1" customHeight="1">
      <c r="B91" s="32"/>
      <c r="C91" s="132" t="s">
        <v>167</v>
      </c>
      <c r="D91" s="132"/>
      <c r="E91" s="96"/>
      <c r="F91" s="15" t="s">
        <v>221</v>
      </c>
      <c r="G91" s="9" t="s">
        <v>160</v>
      </c>
      <c r="J91" s="5" t="str">
        <f t="shared" si="0"/>
        <v/>
      </c>
    </row>
    <row r="92" spans="2:20" ht="50.1" customHeight="1">
      <c r="B92" s="32"/>
      <c r="C92" s="132" t="s">
        <v>213</v>
      </c>
      <c r="D92" s="132"/>
      <c r="E92" s="100"/>
      <c r="F92" s="15"/>
      <c r="G92" s="9" t="s">
        <v>24</v>
      </c>
      <c r="J92" s="5" t="str">
        <f>IF($E$94+$E$95=0,"",IF(E92="","プルダウンから選択してください。",IF(E92="V2H充放電設備","","補助対象外です。")))</f>
        <v/>
      </c>
      <c r="M92" s="89" t="s">
        <v>153</v>
      </c>
      <c r="P92" s="54" t="s">
        <v>154</v>
      </c>
    </row>
    <row r="93" spans="2:20" ht="50.1" customHeight="1">
      <c r="B93" s="32"/>
      <c r="C93" s="132" t="s">
        <v>214</v>
      </c>
      <c r="D93" s="132"/>
      <c r="E93" s="90"/>
      <c r="F93" s="101" t="s">
        <v>220</v>
      </c>
      <c r="G93" s="9" t="s">
        <v>215</v>
      </c>
      <c r="J93" s="137" t="str">
        <f t="shared" si="0"/>
        <v/>
      </c>
      <c r="K93" s="137"/>
      <c r="L93" s="137"/>
      <c r="M93" s="89" t="s">
        <v>153</v>
      </c>
      <c r="P93" s="54" t="s">
        <v>154</v>
      </c>
    </row>
    <row r="94" spans="2:20" ht="50.1" customHeight="1">
      <c r="B94" s="32"/>
      <c r="C94" s="143" t="s">
        <v>168</v>
      </c>
      <c r="D94" s="144"/>
      <c r="E94" s="45"/>
      <c r="F94" s="15" t="s">
        <v>29</v>
      </c>
      <c r="G94" s="9" t="s">
        <v>216</v>
      </c>
      <c r="J94" s="5" t="str">
        <f t="shared" si="0"/>
        <v/>
      </c>
    </row>
    <row r="95" spans="2:20" ht="50.1" customHeight="1">
      <c r="B95" s="32"/>
      <c r="C95" s="143" t="s">
        <v>169</v>
      </c>
      <c r="D95" s="144"/>
      <c r="E95" s="45"/>
      <c r="F95" s="15" t="s">
        <v>29</v>
      </c>
      <c r="G95" s="9" t="s">
        <v>203</v>
      </c>
      <c r="J95" s="5" t="str">
        <f t="shared" si="0"/>
        <v/>
      </c>
    </row>
    <row r="96" spans="2:20" ht="50.1" customHeight="1">
      <c r="B96" s="32"/>
      <c r="C96" s="139" t="s">
        <v>197</v>
      </c>
      <c r="D96" s="140"/>
      <c r="E96" s="97">
        <f>+E94+E95</f>
        <v>0</v>
      </c>
      <c r="F96" s="15" t="s">
        <v>196</v>
      </c>
      <c r="G96" s="9" t="s">
        <v>204</v>
      </c>
      <c r="H96" s="91"/>
      <c r="I96" s="91"/>
    </row>
    <row r="97" spans="2:24" ht="50.1" customHeight="1" thickBot="1">
      <c r="B97" s="32"/>
      <c r="C97" s="139" t="s">
        <v>200</v>
      </c>
      <c r="D97" s="140"/>
      <c r="E97" s="45"/>
      <c r="F97" s="15" t="s">
        <v>179</v>
      </c>
      <c r="G97" s="9" t="s">
        <v>205</v>
      </c>
      <c r="H97" s="145" t="s">
        <v>170</v>
      </c>
      <c r="I97" s="145"/>
    </row>
    <row r="98" spans="2:24" ht="50.1" customHeight="1" thickBot="1">
      <c r="B98" s="32"/>
      <c r="C98" s="143" t="s">
        <v>171</v>
      </c>
      <c r="D98" s="144"/>
      <c r="E98" s="44" t="str">
        <f>IF(H98="○",E94+E95-E97,"")</f>
        <v/>
      </c>
      <c r="F98" s="15" t="s">
        <v>218</v>
      </c>
      <c r="G98" s="9" t="s">
        <v>206</v>
      </c>
      <c r="H98" s="35" t="str">
        <f>IF(E93="","",IF(H85="○",IF(H30="○",IF(E89="","",IF(E92="V2H充放電設備","○","")),""),""))</f>
        <v/>
      </c>
      <c r="I98" s="88"/>
      <c r="J98" s="5" t="str">
        <f>IF(E92="","",IF(H30="○","","充放電設備の補助については太陽光発電設備及び電気自動車の補助との併用が要件です。"))</f>
        <v/>
      </c>
      <c r="M98" s="87"/>
      <c r="N98" s="87"/>
      <c r="O98" s="87"/>
      <c r="P98" s="87"/>
      <c r="Q98" s="87"/>
      <c r="R98" s="87"/>
      <c r="S98" s="87"/>
      <c r="T98" s="87"/>
    </row>
    <row r="99" spans="2:24" ht="50.1" customHeight="1" thickBot="1">
      <c r="B99" s="32"/>
      <c r="C99" s="130" t="s">
        <v>172</v>
      </c>
      <c r="D99" s="131"/>
      <c r="E99" s="47">
        <f>IF(H98="○",IF(E98="",0,MIN(ROUNDDOWN(E98*0.5,-3),1500000)),0)</f>
        <v>0</v>
      </c>
      <c r="F99" s="48" t="s">
        <v>29</v>
      </c>
      <c r="G99" s="9" t="s">
        <v>217</v>
      </c>
      <c r="M99" s="146" t="s">
        <v>58</v>
      </c>
      <c r="N99" s="146"/>
      <c r="O99" s="146"/>
      <c r="P99" s="146"/>
      <c r="Q99" s="146"/>
      <c r="R99" s="146"/>
      <c r="S99" s="146"/>
      <c r="T99" s="146"/>
    </row>
    <row r="100" spans="2:24" ht="15.75" customHeight="1">
      <c r="B100" s="32"/>
      <c r="C100" s="36"/>
      <c r="D100" s="36"/>
      <c r="E100" s="49"/>
      <c r="F100" s="38"/>
      <c r="G100" s="9"/>
    </row>
    <row r="101" spans="2:24" ht="15.75" customHeight="1">
      <c r="B101" s="32"/>
      <c r="C101" s="36"/>
      <c r="D101" s="36"/>
      <c r="E101" s="49"/>
      <c r="F101" s="38"/>
      <c r="G101" s="9"/>
    </row>
    <row r="102" spans="2:24" ht="16.5" customHeight="1" thickBot="1">
      <c r="B102" s="63" t="s">
        <v>92</v>
      </c>
      <c r="C102" s="1"/>
      <c r="D102" s="64"/>
      <c r="E102" s="65"/>
      <c r="F102" s="66"/>
      <c r="G102" s="9"/>
      <c r="H102" s="21" t="s">
        <v>94</v>
      </c>
      <c r="I102" s="67"/>
      <c r="O102" s="56"/>
      <c r="P102" s="56"/>
      <c r="Q102" s="56"/>
      <c r="R102" s="56"/>
      <c r="S102" s="56"/>
      <c r="T102" s="56"/>
    </row>
    <row r="103" spans="2:24" ht="50.1" customHeight="1" thickBot="1">
      <c r="B103" s="32"/>
      <c r="C103" s="128" t="s">
        <v>97</v>
      </c>
      <c r="D103" s="129"/>
      <c r="E103" s="126"/>
      <c r="F103" s="121"/>
      <c r="G103" s="113" t="s">
        <v>93</v>
      </c>
      <c r="H103" s="35" t="str">
        <f>IF(E103="","",IF(E103="３０％以上となる見込み","○",""))</f>
        <v/>
      </c>
      <c r="J103" s="5" t="str">
        <f>IF(E103="３０％以上となる見込み","","自家消費率が３０％以上となり、それが法定耐用年数（１７年）が経過するまでの期間維持されると見込まれることが太陽光発電設備の補助の要件です。")</f>
        <v>自家消費率が３０％以上となり、それが法定耐用年数（１７年）が経過するまでの期間維持されると見込まれることが太陽光発電設備の補助の要件です。</v>
      </c>
      <c r="M103" s="68"/>
      <c r="N103" s="68"/>
      <c r="O103" s="68"/>
      <c r="P103" s="68"/>
      <c r="Q103" s="68"/>
      <c r="R103" s="68"/>
      <c r="S103" s="68"/>
      <c r="T103" s="68"/>
    </row>
    <row r="105" spans="2:24" ht="16.5" customHeight="1">
      <c r="B105" s="69" t="s">
        <v>99</v>
      </c>
      <c r="C105" s="1"/>
      <c r="D105" s="69"/>
      <c r="E105" s="29"/>
      <c r="F105" s="30"/>
    </row>
    <row r="106" spans="2:24" ht="49.5" customHeight="1">
      <c r="C106" s="132" t="s">
        <v>231</v>
      </c>
      <c r="D106" s="132"/>
      <c r="E106" s="70">
        <f>+E31</f>
        <v>0</v>
      </c>
      <c r="F106" s="15" t="s">
        <v>57</v>
      </c>
      <c r="G106" s="31" t="s">
        <v>39</v>
      </c>
    </row>
    <row r="107" spans="2:24" s="110" customFormat="1" ht="49.5" customHeight="1">
      <c r="C107" s="132" t="s">
        <v>236</v>
      </c>
      <c r="D107" s="132"/>
      <c r="E107" s="123">
        <f>+E32</f>
        <v>0</v>
      </c>
      <c r="F107" s="114" t="s">
        <v>57</v>
      </c>
      <c r="G107" s="115" t="s">
        <v>95</v>
      </c>
      <c r="J107" s="111"/>
      <c r="X107" s="112"/>
    </row>
    <row r="108" spans="2:24" ht="49.5" customHeight="1">
      <c r="C108" s="132" t="s">
        <v>100</v>
      </c>
      <c r="D108" s="132"/>
      <c r="E108" s="70">
        <f>+E49</f>
        <v>0</v>
      </c>
      <c r="F108" s="15" t="s">
        <v>57</v>
      </c>
      <c r="G108" s="31" t="s">
        <v>96</v>
      </c>
    </row>
    <row r="109" spans="2:24" ht="49.5" customHeight="1">
      <c r="C109" s="132" t="s">
        <v>101</v>
      </c>
      <c r="D109" s="132"/>
      <c r="E109" s="70">
        <f>+E60</f>
        <v>0</v>
      </c>
      <c r="F109" s="15" t="s">
        <v>57</v>
      </c>
      <c r="G109" s="31" t="s">
        <v>98</v>
      </c>
    </row>
    <row r="110" spans="2:24" ht="49.5" customHeight="1">
      <c r="C110" s="138" t="s">
        <v>102</v>
      </c>
      <c r="D110" s="138"/>
      <c r="E110" s="71">
        <f>+E71</f>
        <v>0</v>
      </c>
      <c r="F110" s="72" t="s">
        <v>57</v>
      </c>
      <c r="G110" s="31" t="s">
        <v>215</v>
      </c>
    </row>
    <row r="111" spans="2:24" ht="49.5" customHeight="1">
      <c r="C111" s="138" t="s">
        <v>163</v>
      </c>
      <c r="D111" s="138"/>
      <c r="E111" s="71">
        <f>E86</f>
        <v>0</v>
      </c>
      <c r="F111" s="72" t="s">
        <v>57</v>
      </c>
      <c r="G111" s="31" t="s">
        <v>216</v>
      </c>
    </row>
    <row r="112" spans="2:24" ht="49.5" customHeight="1" thickBot="1">
      <c r="C112" s="138" t="s">
        <v>164</v>
      </c>
      <c r="D112" s="138"/>
      <c r="E112" s="71">
        <f>E99</f>
        <v>0</v>
      </c>
      <c r="F112" s="72" t="s">
        <v>57</v>
      </c>
      <c r="G112" s="31" t="s">
        <v>203</v>
      </c>
    </row>
    <row r="113" spans="3:28" s="110" customFormat="1" ht="49.5" customHeight="1" thickBot="1">
      <c r="C113" s="133" t="s">
        <v>103</v>
      </c>
      <c r="D113" s="134"/>
      <c r="E113" s="124">
        <f>SUM(E106:E112)</f>
        <v>0</v>
      </c>
      <c r="F113" s="121" t="s">
        <v>237</v>
      </c>
      <c r="G113" s="115" t="s">
        <v>232</v>
      </c>
      <c r="W113" s="112"/>
    </row>
    <row r="114" spans="3:28" ht="49.5" customHeight="1" thickBot="1">
      <c r="C114" s="133" t="s">
        <v>238</v>
      </c>
      <c r="D114" s="134"/>
      <c r="E114" s="73">
        <f>+E106+E108+E109+E110+E111+E112</f>
        <v>0</v>
      </c>
      <c r="F114" s="48" t="s">
        <v>234</v>
      </c>
      <c r="G114" s="31" t="s">
        <v>233</v>
      </c>
      <c r="J114" s="1"/>
      <c r="W114" s="6"/>
      <c r="X114" s="1"/>
    </row>
    <row r="115" spans="3:28" s="110" customFormat="1" ht="49.5" customHeight="1" thickBot="1">
      <c r="C115" s="133" t="s">
        <v>239</v>
      </c>
      <c r="D115" s="134"/>
      <c r="E115" s="124">
        <f>+E107</f>
        <v>0</v>
      </c>
      <c r="F115" s="121" t="s">
        <v>235</v>
      </c>
      <c r="G115" s="115" t="s">
        <v>240</v>
      </c>
      <c r="J115" s="125"/>
      <c r="X115" s="112"/>
    </row>
    <row r="121" spans="3:28">
      <c r="Z121" s="55" t="str">
        <f>AA121&amp;AB121</f>
        <v>1ガス従来型給湯機</v>
      </c>
      <c r="AA121" s="55">
        <v>1</v>
      </c>
      <c r="AB121" s="55" t="s">
        <v>104</v>
      </c>
    </row>
    <row r="122" spans="3:28">
      <c r="Z122" s="55" t="str">
        <f t="shared" ref="Z122:Z135" si="1">AA122&amp;AB122</f>
        <v>2ガス潜熱回収型給湯機（エコジョーズ）</v>
      </c>
      <c r="AA122" s="55">
        <v>2</v>
      </c>
      <c r="AB122" s="55" t="s">
        <v>105</v>
      </c>
    </row>
    <row r="123" spans="3:28">
      <c r="Z123" s="55" t="str">
        <f t="shared" si="1"/>
        <v>3石油従来型給湯機</v>
      </c>
      <c r="AA123" s="55">
        <v>3</v>
      </c>
      <c r="AB123" s="55" t="s">
        <v>106</v>
      </c>
    </row>
    <row r="124" spans="3:28">
      <c r="Z124" s="55" t="str">
        <f t="shared" si="1"/>
        <v>4石油潜熱回収型給湯機</v>
      </c>
      <c r="AA124" s="55">
        <v>4</v>
      </c>
      <c r="AB124" s="55" t="s">
        <v>107</v>
      </c>
    </row>
    <row r="125" spans="3:28">
      <c r="Z125" s="55" t="str">
        <f t="shared" si="1"/>
        <v>5電気ヒーター給湯機</v>
      </c>
      <c r="AA125" s="55">
        <v>5</v>
      </c>
      <c r="AB125" s="55" t="s">
        <v>108</v>
      </c>
    </row>
    <row r="126" spans="3:28">
      <c r="Z126" s="55" t="str">
        <f t="shared" si="1"/>
        <v>6電気ヒートポンプ給湯機（CO2冷媒）（太陽熱利用設備を使用しないもの）（エコキュート）</v>
      </c>
      <c r="AA126" s="55">
        <v>6</v>
      </c>
      <c r="AB126" s="55" t="s">
        <v>109</v>
      </c>
    </row>
    <row r="127" spans="3:28">
      <c r="Z127" s="55" t="str">
        <f t="shared" si="1"/>
        <v>7電気ヒートポンプ・ガス瞬間式併用型給湯機（ハイブリッド）</v>
      </c>
      <c r="AA127" s="55">
        <v>7</v>
      </c>
      <c r="AB127" s="55" t="s">
        <v>110</v>
      </c>
    </row>
    <row r="128" spans="3:28">
      <c r="Z128" s="55" t="str">
        <f t="shared" si="1"/>
        <v>8ガス従来型給湯温水暖房機</v>
      </c>
      <c r="AA128" s="55">
        <v>8</v>
      </c>
      <c r="AB128" s="55" t="s">
        <v>111</v>
      </c>
    </row>
    <row r="129" spans="26:28">
      <c r="Z129" s="55" t="str">
        <f t="shared" si="1"/>
        <v>9ガス潜熱回収型給湯温水暖房機</v>
      </c>
      <c r="AA129" s="55">
        <v>9</v>
      </c>
      <c r="AB129" s="55" t="s">
        <v>112</v>
      </c>
    </row>
    <row r="130" spans="26:28">
      <c r="Z130" s="55" t="str">
        <f t="shared" si="1"/>
        <v>10石油従来型給湯温水暖房機</v>
      </c>
      <c r="AA130" s="55">
        <v>10</v>
      </c>
      <c r="AB130" s="55" t="s">
        <v>113</v>
      </c>
    </row>
    <row r="131" spans="26:28">
      <c r="Z131" s="55" t="str">
        <f t="shared" si="1"/>
        <v>11石油潜熱回収型給湯温水暖房機</v>
      </c>
      <c r="AA131" s="55">
        <v>11</v>
      </c>
      <c r="AB131" s="55" t="s">
        <v>114</v>
      </c>
    </row>
    <row r="132" spans="26:28">
      <c r="Z132" s="55" t="str">
        <f t="shared" si="1"/>
        <v>12電気ヒーター給湯温水暖房機</v>
      </c>
      <c r="AA132" s="55">
        <v>12</v>
      </c>
      <c r="AB132" s="55" t="s">
        <v>115</v>
      </c>
    </row>
    <row r="133" spans="26:28">
      <c r="Z133" s="55" t="str">
        <f t="shared" si="1"/>
        <v>13電気ヒートポンプ・ガス瞬間式併用型給湯温水暖房機（暖房部：電気ヒートポンプ・ガス | 給湯部：ガス）</v>
      </c>
      <c r="AA133" s="55">
        <v>13</v>
      </c>
      <c r="AB133" s="55" t="s">
        <v>116</v>
      </c>
    </row>
    <row r="134" spans="26:28">
      <c r="Z134" s="55" t="str">
        <f t="shared" si="1"/>
        <v>14電気ヒートポンプ・ガス瞬間式併用型給湯温水暖房機（暖房部：電気ヒートポンプ・ガス | 給湯部：電気ヒートポンプ・ガス）</v>
      </c>
      <c r="AA134" s="55">
        <v>14</v>
      </c>
      <c r="AB134" s="55" t="s">
        <v>117</v>
      </c>
    </row>
    <row r="135" spans="26:28">
      <c r="Z135" s="55" t="str">
        <f t="shared" si="1"/>
        <v>15電気ヒートポンプ・ガス瞬間式併用型給湯温水暖房機（暖房部：ガス | 給湯部：電気ヒートポンプ・ガス）</v>
      </c>
      <c r="AA135" s="55">
        <v>15</v>
      </c>
      <c r="AB135" s="55" t="s">
        <v>118</v>
      </c>
    </row>
  </sheetData>
  <sheetProtection sheet="1" objects="1" scenarios="1" selectLockedCells="1"/>
  <mergeCells count="116">
    <mergeCell ref="C65:D65"/>
    <mergeCell ref="C66:D66"/>
    <mergeCell ref="C67:D67"/>
    <mergeCell ref="C53:D53"/>
    <mergeCell ref="C41:D41"/>
    <mergeCell ref="C52:D52"/>
    <mergeCell ref="C92:D92"/>
    <mergeCell ref="C68:D68"/>
    <mergeCell ref="C69:D69"/>
    <mergeCell ref="C83:D83"/>
    <mergeCell ref="C84:D84"/>
    <mergeCell ref="C75:D75"/>
    <mergeCell ref="C77:D77"/>
    <mergeCell ref="C76:D76"/>
    <mergeCell ref="C79:D79"/>
    <mergeCell ref="C78:D78"/>
    <mergeCell ref="C21:D21"/>
    <mergeCell ref="C22:D22"/>
    <mergeCell ref="C23:D23"/>
    <mergeCell ref="C24:D24"/>
    <mergeCell ref="C25:D25"/>
    <mergeCell ref="C40:D40"/>
    <mergeCell ref="M26:T27"/>
    <mergeCell ref="C27:D27"/>
    <mergeCell ref="H29:I29"/>
    <mergeCell ref="C30:D30"/>
    <mergeCell ref="C28:D28"/>
    <mergeCell ref="C29:D29"/>
    <mergeCell ref="C26:D26"/>
    <mergeCell ref="C39:D39"/>
    <mergeCell ref="C36:D36"/>
    <mergeCell ref="C37:D37"/>
    <mergeCell ref="K37:M37"/>
    <mergeCell ref="C38:D38"/>
    <mergeCell ref="C31:D31"/>
    <mergeCell ref="C35:D35"/>
    <mergeCell ref="C15:D15"/>
    <mergeCell ref="J15:R15"/>
    <mergeCell ref="H1:I1"/>
    <mergeCell ref="B2:E2"/>
    <mergeCell ref="H2:I2"/>
    <mergeCell ref="C4:D4"/>
    <mergeCell ref="C5:D5"/>
    <mergeCell ref="C6:D6"/>
    <mergeCell ref="C7:D7"/>
    <mergeCell ref="C13:D13"/>
    <mergeCell ref="J13:S13"/>
    <mergeCell ref="C14:D14"/>
    <mergeCell ref="H14:I14"/>
    <mergeCell ref="C9:D9"/>
    <mergeCell ref="C8:D8"/>
    <mergeCell ref="C10:D10"/>
    <mergeCell ref="K64:N64"/>
    <mergeCell ref="C57:D57"/>
    <mergeCell ref="C58:D58"/>
    <mergeCell ref="M41:T41"/>
    <mergeCell ref="C42:D42"/>
    <mergeCell ref="M42:T42"/>
    <mergeCell ref="C45:D45"/>
    <mergeCell ref="M45:T45"/>
    <mergeCell ref="C46:D46"/>
    <mergeCell ref="C48:D48"/>
    <mergeCell ref="C49:D49"/>
    <mergeCell ref="C43:D43"/>
    <mergeCell ref="C44:D44"/>
    <mergeCell ref="H47:I47"/>
    <mergeCell ref="C54:D54"/>
    <mergeCell ref="C55:D55"/>
    <mergeCell ref="M99:T99"/>
    <mergeCell ref="C112:D112"/>
    <mergeCell ref="C111:D111"/>
    <mergeCell ref="H97:I97"/>
    <mergeCell ref="C98:D98"/>
    <mergeCell ref="C99:D99"/>
    <mergeCell ref="H69:I69"/>
    <mergeCell ref="C70:D70"/>
    <mergeCell ref="M71:T71"/>
    <mergeCell ref="C71:D71"/>
    <mergeCell ref="C74:D74"/>
    <mergeCell ref="C80:D80"/>
    <mergeCell ref="K80:N80"/>
    <mergeCell ref="C81:D81"/>
    <mergeCell ref="C82:D82"/>
    <mergeCell ref="H84:I84"/>
    <mergeCell ref="C85:D85"/>
    <mergeCell ref="C86:D86"/>
    <mergeCell ref="C89:D89"/>
    <mergeCell ref="C91:D91"/>
    <mergeCell ref="C93:D93"/>
    <mergeCell ref="C94:D94"/>
    <mergeCell ref="C95:D95"/>
    <mergeCell ref="M86:T86"/>
    <mergeCell ref="C103:D103"/>
    <mergeCell ref="C32:D32"/>
    <mergeCell ref="C107:D107"/>
    <mergeCell ref="C115:D115"/>
    <mergeCell ref="C113:D113"/>
    <mergeCell ref="C47:D47"/>
    <mergeCell ref="J93:L93"/>
    <mergeCell ref="C114:D114"/>
    <mergeCell ref="C106:D106"/>
    <mergeCell ref="C108:D108"/>
    <mergeCell ref="C109:D109"/>
    <mergeCell ref="C110:D110"/>
    <mergeCell ref="C96:D96"/>
    <mergeCell ref="C97:D97"/>
    <mergeCell ref="C90:D90"/>
    <mergeCell ref="L55:N55"/>
    <mergeCell ref="C56:D56"/>
    <mergeCell ref="H58:I58"/>
    <mergeCell ref="L56:N56"/>
    <mergeCell ref="C59:D59"/>
    <mergeCell ref="M59:T59"/>
    <mergeCell ref="C60:D60"/>
    <mergeCell ref="C63:D63"/>
    <mergeCell ref="C64:D64"/>
  </mergeCells>
  <phoneticPr fontId="3"/>
  <dataValidations xWindow="598" yWindow="373" count="23">
    <dataValidation type="list" allowBlank="1" showInputMessage="1" showErrorMessage="1" prompt="プルダウンから選択してください。_x000a_入力箇所のセルが選択されていない状態でマウスカーソルを当該セルに合わせると全ての選択肢が表示されます。" sqref="E53:E54">
      <formula1>$Z$121:$Z$135</formula1>
    </dataValidation>
    <dataValidation type="list" allowBlank="1" showInputMessage="1" showErrorMessage="1" prompt="プルダウンから選択してください。" sqref="E65 E38">
      <formula1>"機器登録されている,機器登録されていない"</formula1>
    </dataValidation>
    <dataValidation type="list" allowBlank="1" showInputMessage="1" showErrorMessage="1" prompt="プルダウンから選択してください。" sqref="E14">
      <formula1>"利用する,利用しない（非FIT・FIP）"</formula1>
    </dataValidation>
    <dataValidation type="list" allowBlank="1" showInputMessage="1" showErrorMessage="1" promptTitle="　　　　　　　　　　　　　　　　　　　" prompt="プルダウンから選択してください。" sqref="E13">
      <formula1>"設置されていた,設置されていなかった（今回新たに設置）,設置されていなかった（今回設置しない）"</formula1>
    </dataValidation>
    <dataValidation type="list" allowBlank="1" showInputMessage="1" showErrorMessage="1" prompt="プルダウンから選択してください。" sqref="E15">
      <formula1>"使用する（従来から設置するものを）,使用する（今回新たに設置・今回取替）,使用しない"</formula1>
    </dataValidation>
    <dataValidation imeMode="halfAlpha" allowBlank="1" showInputMessage="1" showErrorMessage="1" prompt="「税抜」の金額を入力してください。" sqref="E55:E58 E26:E29 E82:E84 E41:E44 E66:E69 E94:E97"/>
    <dataValidation imeMode="halfAlpha" allowBlank="1" showInputMessage="1" showErrorMessage="1" prompt="小数点以下も入力してください。" sqref="E23:E24"/>
    <dataValidation imeMode="halfAlpha" allowBlank="1" showInputMessage="1" showErrorMessage="1" prompt="小数点第２位以下を切捨てた、小数点以下１桁の数値を入力してください。" sqref="E36"/>
    <dataValidation imeMode="halfAlpha" allowBlank="1" showInputMessage="1" showErrorMessage="1" prompt="当該メニューを申請する場合、貯湯ユニットが独立しているシステムについては必ず入力してください。" sqref="E64"/>
    <dataValidation imeMode="halfAlpha" allowBlank="1" showInputMessage="1" showErrorMessage="1" prompt="当該メニューを申請する場合は必ず入力してください。" sqref="E63 E21:E22 E35 E52 E74:E76 E80 E89:E91"/>
    <dataValidation allowBlank="1" showInputMessage="1" showErrorMessage="1" prompt="代理申請者が申請する場合は必ず入力してください。" sqref="G6:G10"/>
    <dataValidation imeMode="hiragana" allowBlank="1" showInputMessage="1" showErrorMessage="1" prompt="必ず入力してください。" sqref="E4:E5"/>
    <dataValidation imeMode="hiragana" allowBlank="1" showInputMessage="1" showErrorMessage="1" prompt="代理申請者が申請する場合は必ず入力してください。" sqref="E6:E8"/>
    <dataValidation type="list" allowBlank="1" showInputMessage="1" showErrorMessage="1" prompt="電気容量が4,800Ah・セル 未満 のものは「家庭用」_x000a_電気容量が4,800Ah・セル 以上 のものは「業務用」_x000a_を選択してください。" sqref="E37">
      <formula1>"家庭用,業務用"</formula1>
    </dataValidation>
    <dataValidation imeMode="halfAlpha" allowBlank="1" showInputMessage="1" showErrorMessage="1" prompt="当該メニューを申請する場合は必ず入力してください。（右記欄外のURLリンク先「一般社団法人次世代自動車振興センター」ホームページを参照ください。）" sqref="E77 E93"/>
    <dataValidation imeMode="hiragana" allowBlank="1" showInputMessage="1" showErrorMessage="1" prompt="必ず記入してください。２者以上のそれぞれの見積書に基づいて算出した補助金の申請額が異なる場合は、低い方の額となる見積書を採用してください。（同額となる場合はいずれの見積書を採用しても問題ありません。）_x000a_対象機器ごとに２者以上の見積書を取得している場合は、対象機器毎に事業者名を記入してください。" sqref="E9"/>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9">
      <formula1>"可能,不可"</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8">
      <formula1>"電気自動車,プラグインハイブリッド自動車,燃料電池自動車,超小型モビリティ,ミニカー,側車付二輪自動車・原動機付自転車"</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92">
      <formula1>"V2H充放電設備,外部給電器,急速充電設備,普通充電設備"</formula1>
    </dataValidation>
    <dataValidation type="list" imeMode="hiragana" allowBlank="1" showInputMessage="1" showErrorMessage="1" prompt="必ず入力してください。" sqref="E10">
      <formula1>"左記について承知しました。"</formula1>
    </dataValidation>
    <dataValidation type="list" imeMode="halfAlpha" allowBlank="1" showInputMessage="1" showErrorMessage="1" prompt="太陽光発電設備の補助を申請する場合は必ず入力してください。" sqref="E103">
      <formula1>"３０％以上となる見込み,３０％以上とならない"</formula1>
    </dataValidation>
    <dataValidation allowBlank="1" showInputMessage="1" showErrorMessage="1" prompt="_x000a_各項目の申請金額を確認してください。_x000a_お見込みの金額と異なる場合は、各項目欄外の黄色文字の確認メッセージをご確認ください。_x000a__x000a_問題ありませんでしたら、H,I,Jの金額を交付申請書の「補助申請額」と「内訳」にそれぞれ転記してください。" sqref="J115"/>
    <dataValidation type="list" allowBlank="1" showInputMessage="1" showErrorMessage="1" prompt="プルダウンから選択してください。" sqref="E48">
      <formula1>"努めた,努めなかった"</formula1>
    </dataValidation>
  </dataValidations>
  <hyperlinks>
    <hyperlink ref="L55" location="'高効率給湯器（新設）'!A1" display="対象となる給湯器（新設の場合）"/>
    <hyperlink ref="L56" location="'高効率給湯器（交換）'!A1" display="対象となる給湯器（交換の場合）"/>
    <hyperlink ref="K64" r:id="rId1"/>
    <hyperlink ref="K37" r:id="rId2"/>
    <hyperlink ref="M77" r:id="rId3"/>
    <hyperlink ref="M79" r:id="rId4"/>
    <hyperlink ref="M93" r:id="rId5"/>
    <hyperlink ref="M78" r:id="rId6"/>
    <hyperlink ref="M92" r:id="rId7"/>
  </hyperlinks>
  <pageMargins left="0.62992125984251968" right="0.23622047244094491" top="0.74803149606299213" bottom="0.55118110236220474" header="0.31496062992125984" footer="0.31496062992125984"/>
  <pageSetup paperSize="9" scale="73" fitToHeight="0" orientation="portrait" blackAndWhite="1" r:id="rId8"/>
  <headerFooter>
    <oddFooter>&amp;C&amp;P/&amp;N</oddFooter>
  </headerFooter>
  <rowBreaks count="6" manualBreakCount="6">
    <brk id="18" max="8" man="1"/>
    <brk id="33" max="8" man="1"/>
    <brk id="50" max="8" man="1"/>
    <brk id="72" max="8" man="1"/>
    <brk id="87" max="8" man="1"/>
    <brk id="104" max="8" man="1"/>
  </rowBreaks>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opLeftCell="D1" workbookViewId="0"/>
  </sheetViews>
  <sheetFormatPr defaultRowHeight="13.5" outlineLevelCol="1"/>
  <cols>
    <col min="1" max="1" width="106.875" style="74" hidden="1" customWidth="1" outlineLevel="1"/>
    <col min="2" max="3" width="0" style="74" hidden="1" customWidth="1" outlineLevel="1"/>
    <col min="4" max="4" width="97.125" style="74" customWidth="1" collapsed="1"/>
    <col min="5" max="5" width="17.5" style="74" customWidth="1"/>
    <col min="6" max="16384" width="9" style="74"/>
  </cols>
  <sheetData>
    <row r="1" spans="1:5" ht="33" customHeight="1" thickBot="1">
      <c r="D1" s="75" t="s">
        <v>119</v>
      </c>
      <c r="E1" s="75" t="s">
        <v>120</v>
      </c>
    </row>
    <row r="2" spans="1:5" ht="24.95" customHeight="1" thickTop="1">
      <c r="A2" s="76" t="s">
        <v>121</v>
      </c>
      <c r="D2" s="77" t="s">
        <v>122</v>
      </c>
      <c r="E2" s="78" t="s">
        <v>123</v>
      </c>
    </row>
    <row r="3" spans="1:5" ht="24.95" customHeight="1">
      <c r="A3" s="79" t="s">
        <v>124</v>
      </c>
      <c r="B3" s="80" t="s">
        <v>123</v>
      </c>
      <c r="D3" s="79" t="s">
        <v>125</v>
      </c>
      <c r="E3" s="80" t="s">
        <v>123</v>
      </c>
    </row>
    <row r="4" spans="1:5" ht="24.95" customHeight="1">
      <c r="A4" s="79" t="s">
        <v>126</v>
      </c>
      <c r="B4" s="80" t="s">
        <v>123</v>
      </c>
      <c r="D4" s="79" t="s">
        <v>127</v>
      </c>
      <c r="E4" s="80" t="s">
        <v>123</v>
      </c>
    </row>
    <row r="5" spans="1:5" ht="24.95" customHeight="1">
      <c r="A5" s="79" t="s">
        <v>128</v>
      </c>
      <c r="B5" s="80" t="s">
        <v>123</v>
      </c>
      <c r="D5" s="79" t="s">
        <v>129</v>
      </c>
      <c r="E5" s="80" t="s">
        <v>123</v>
      </c>
    </row>
    <row r="6" spans="1:5" ht="24.95" customHeight="1">
      <c r="A6" s="79" t="s">
        <v>130</v>
      </c>
      <c r="B6" s="80" t="s">
        <v>123</v>
      </c>
      <c r="D6" s="79" t="s">
        <v>131</v>
      </c>
      <c r="E6" s="80" t="s">
        <v>123</v>
      </c>
    </row>
    <row r="7" spans="1:5" ht="24.95" customHeight="1">
      <c r="A7" s="79" t="s">
        <v>132</v>
      </c>
      <c r="B7" s="81" t="s">
        <v>133</v>
      </c>
      <c r="D7" s="79" t="s">
        <v>134</v>
      </c>
      <c r="E7" s="81" t="s">
        <v>133</v>
      </c>
    </row>
    <row r="8" spans="1:5" ht="24.95" customHeight="1">
      <c r="A8" s="79" t="s">
        <v>135</v>
      </c>
      <c r="B8" s="81" t="s">
        <v>133</v>
      </c>
      <c r="D8" s="79" t="s">
        <v>136</v>
      </c>
      <c r="E8" s="81" t="s">
        <v>133</v>
      </c>
    </row>
    <row r="9" spans="1:5" ht="24.95" customHeight="1">
      <c r="A9" s="79" t="s">
        <v>122</v>
      </c>
      <c r="B9" s="80" t="s">
        <v>123</v>
      </c>
      <c r="D9" s="79" t="s">
        <v>137</v>
      </c>
      <c r="E9" s="80" t="s">
        <v>123</v>
      </c>
    </row>
    <row r="10" spans="1:5" ht="24.95" customHeight="1">
      <c r="A10" s="79" t="s">
        <v>125</v>
      </c>
      <c r="B10" s="80" t="s">
        <v>123</v>
      </c>
      <c r="D10" s="79" t="s">
        <v>138</v>
      </c>
      <c r="E10" s="80" t="s">
        <v>123</v>
      </c>
    </row>
    <row r="11" spans="1:5" ht="24.95" customHeight="1">
      <c r="A11" s="79" t="s">
        <v>127</v>
      </c>
      <c r="B11" s="80" t="s">
        <v>123</v>
      </c>
      <c r="D11" s="79" t="s">
        <v>124</v>
      </c>
      <c r="E11" s="80" t="s">
        <v>123</v>
      </c>
    </row>
    <row r="12" spans="1:5" ht="24.95" customHeight="1">
      <c r="A12" s="79" t="s">
        <v>129</v>
      </c>
      <c r="B12" s="80" t="s">
        <v>123</v>
      </c>
      <c r="D12" s="79" t="s">
        <v>126</v>
      </c>
      <c r="E12" s="80" t="s">
        <v>123</v>
      </c>
    </row>
    <row r="13" spans="1:5" ht="24.95" customHeight="1">
      <c r="A13" s="79" t="s">
        <v>131</v>
      </c>
      <c r="B13" s="80" t="s">
        <v>123</v>
      </c>
      <c r="D13" s="79" t="s">
        <v>128</v>
      </c>
      <c r="E13" s="80" t="s">
        <v>123</v>
      </c>
    </row>
    <row r="14" spans="1:5" ht="24.95" customHeight="1">
      <c r="A14" s="79" t="s">
        <v>134</v>
      </c>
      <c r="B14" s="81" t="s">
        <v>133</v>
      </c>
      <c r="D14" s="79" t="s">
        <v>130</v>
      </c>
      <c r="E14" s="80" t="s">
        <v>123</v>
      </c>
    </row>
    <row r="15" spans="1:5" ht="24.95" customHeight="1">
      <c r="A15" s="79" t="s">
        <v>136</v>
      </c>
      <c r="B15" s="81" t="s">
        <v>133</v>
      </c>
      <c r="D15" s="79" t="s">
        <v>132</v>
      </c>
      <c r="E15" s="81" t="s">
        <v>133</v>
      </c>
    </row>
    <row r="16" spans="1:5" ht="24.95" customHeight="1">
      <c r="A16" s="79" t="s">
        <v>137</v>
      </c>
      <c r="B16" s="80" t="s">
        <v>123</v>
      </c>
      <c r="D16" s="79" t="s">
        <v>135</v>
      </c>
      <c r="E16" s="81" t="s">
        <v>133</v>
      </c>
    </row>
    <row r="17" spans="1:2">
      <c r="A17" s="79" t="s">
        <v>138</v>
      </c>
      <c r="B17" s="80" t="s">
        <v>123</v>
      </c>
    </row>
  </sheetData>
  <sheetProtection sheet="1" objects="1" scenarios="1"/>
  <phoneticPr fontId="3"/>
  <pageMargins left="0.70866141732283472" right="0.70866141732283472" top="0.74803149606299213" bottom="0.74803149606299213" header="0.31496062992125984" footer="0.31496062992125984"/>
  <pageSetup paperSize="9" orientation="landscape" r:id="rId1"/>
  <headerFooter>
    <oddHeader>&amp;L補助対象経費等確認・計算書　別紙１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heetViews>
  <sheetFormatPr defaultRowHeight="13.5"/>
  <cols>
    <col min="1" max="1" width="63.625" style="74" customWidth="1"/>
    <col min="2" max="16384" width="9" style="74"/>
  </cols>
  <sheetData>
    <row r="1" spans="1:16" ht="219" customHeight="1">
      <c r="A1" s="82" t="s">
        <v>139</v>
      </c>
      <c r="B1" s="83" t="s">
        <v>122</v>
      </c>
      <c r="C1" s="83" t="s">
        <v>125</v>
      </c>
      <c r="D1" s="83" t="s">
        <v>127</v>
      </c>
      <c r="E1" s="83" t="s">
        <v>129</v>
      </c>
      <c r="F1" s="83" t="s">
        <v>131</v>
      </c>
      <c r="G1" s="83" t="s">
        <v>140</v>
      </c>
      <c r="H1" s="83" t="s">
        <v>136</v>
      </c>
      <c r="I1" s="83" t="s">
        <v>137</v>
      </c>
      <c r="J1" s="83" t="s">
        <v>138</v>
      </c>
      <c r="K1" s="83" t="s">
        <v>124</v>
      </c>
      <c r="L1" s="83" t="s">
        <v>126</v>
      </c>
      <c r="M1" s="83" t="s">
        <v>128</v>
      </c>
      <c r="N1" s="83" t="s">
        <v>130</v>
      </c>
      <c r="O1" s="83" t="s">
        <v>132</v>
      </c>
      <c r="P1" s="83" t="s">
        <v>135</v>
      </c>
    </row>
    <row r="2" spans="1:16" ht="24.95" customHeight="1">
      <c r="A2" s="79" t="s">
        <v>122</v>
      </c>
      <c r="B2" s="80" t="s">
        <v>123</v>
      </c>
      <c r="C2" s="80" t="s">
        <v>123</v>
      </c>
      <c r="D2" s="80" t="s">
        <v>123</v>
      </c>
      <c r="E2" s="80" t="s">
        <v>123</v>
      </c>
      <c r="F2" s="80" t="s">
        <v>123</v>
      </c>
      <c r="G2" s="81" t="s">
        <v>141</v>
      </c>
      <c r="H2" s="81" t="s">
        <v>141</v>
      </c>
      <c r="I2" s="80" t="s">
        <v>123</v>
      </c>
      <c r="J2" s="80" t="s">
        <v>123</v>
      </c>
      <c r="K2" s="80" t="s">
        <v>123</v>
      </c>
      <c r="L2" s="80" t="s">
        <v>123</v>
      </c>
      <c r="M2" s="80" t="s">
        <v>123</v>
      </c>
      <c r="N2" s="80" t="s">
        <v>123</v>
      </c>
      <c r="O2" s="81" t="s">
        <v>141</v>
      </c>
      <c r="P2" s="81" t="s">
        <v>141</v>
      </c>
    </row>
    <row r="3" spans="1:16" ht="24.95" customHeight="1">
      <c r="A3" s="79" t="s">
        <v>125</v>
      </c>
      <c r="B3" s="80" t="s">
        <v>123</v>
      </c>
      <c r="C3" s="80" t="s">
        <v>123</v>
      </c>
      <c r="D3" s="80" t="s">
        <v>123</v>
      </c>
      <c r="E3" s="80" t="s">
        <v>123</v>
      </c>
      <c r="F3" s="80" t="s">
        <v>123</v>
      </c>
      <c r="G3" s="84" t="s">
        <v>123</v>
      </c>
      <c r="H3" s="81" t="s">
        <v>141</v>
      </c>
      <c r="I3" s="80" t="s">
        <v>123</v>
      </c>
      <c r="J3" s="80" t="s">
        <v>123</v>
      </c>
      <c r="K3" s="80" t="s">
        <v>123</v>
      </c>
      <c r="L3" s="80" t="s">
        <v>123</v>
      </c>
      <c r="M3" s="80" t="s">
        <v>123</v>
      </c>
      <c r="N3" s="80" t="s">
        <v>123</v>
      </c>
      <c r="O3" s="81" t="s">
        <v>141</v>
      </c>
      <c r="P3" s="81" t="s">
        <v>141</v>
      </c>
    </row>
    <row r="4" spans="1:16" ht="24.95" customHeight="1">
      <c r="A4" s="79" t="s">
        <v>127</v>
      </c>
      <c r="B4" s="80" t="s">
        <v>123</v>
      </c>
      <c r="C4" s="80" t="s">
        <v>123</v>
      </c>
      <c r="D4" s="80" t="s">
        <v>123</v>
      </c>
      <c r="E4" s="80" t="s">
        <v>123</v>
      </c>
      <c r="F4" s="80" t="s">
        <v>123</v>
      </c>
      <c r="G4" s="81" t="s">
        <v>141</v>
      </c>
      <c r="H4" s="81" t="s">
        <v>141</v>
      </c>
      <c r="I4" s="80" t="s">
        <v>123</v>
      </c>
      <c r="J4" s="80" t="s">
        <v>123</v>
      </c>
      <c r="K4" s="80" t="s">
        <v>123</v>
      </c>
      <c r="L4" s="80" t="s">
        <v>123</v>
      </c>
      <c r="M4" s="80" t="s">
        <v>123</v>
      </c>
      <c r="N4" s="80" t="s">
        <v>123</v>
      </c>
      <c r="O4" s="81" t="s">
        <v>141</v>
      </c>
      <c r="P4" s="81" t="s">
        <v>141</v>
      </c>
    </row>
    <row r="5" spans="1:16" ht="24.95" customHeight="1">
      <c r="A5" s="79" t="s">
        <v>129</v>
      </c>
      <c r="B5" s="80" t="s">
        <v>123</v>
      </c>
      <c r="C5" s="80" t="s">
        <v>123</v>
      </c>
      <c r="D5" s="80" t="s">
        <v>123</v>
      </c>
      <c r="E5" s="80" t="s">
        <v>123</v>
      </c>
      <c r="F5" s="80" t="s">
        <v>123</v>
      </c>
      <c r="G5" s="81" t="s">
        <v>141</v>
      </c>
      <c r="H5" s="81" t="s">
        <v>141</v>
      </c>
      <c r="I5" s="80" t="s">
        <v>123</v>
      </c>
      <c r="J5" s="80" t="s">
        <v>123</v>
      </c>
      <c r="K5" s="80" t="s">
        <v>123</v>
      </c>
      <c r="L5" s="80" t="s">
        <v>123</v>
      </c>
      <c r="M5" s="80" t="s">
        <v>123</v>
      </c>
      <c r="N5" s="80" t="s">
        <v>123</v>
      </c>
      <c r="O5" s="81" t="s">
        <v>141</v>
      </c>
      <c r="P5" s="81" t="s">
        <v>141</v>
      </c>
    </row>
    <row r="6" spans="1:16" ht="24.95" customHeight="1">
      <c r="A6" s="79" t="s">
        <v>131</v>
      </c>
      <c r="B6" s="80" t="s">
        <v>123</v>
      </c>
      <c r="C6" s="80" t="s">
        <v>123</v>
      </c>
      <c r="D6" s="80" t="s">
        <v>123</v>
      </c>
      <c r="E6" s="80" t="s">
        <v>123</v>
      </c>
      <c r="F6" s="80" t="s">
        <v>123</v>
      </c>
      <c r="G6" s="81" t="s">
        <v>141</v>
      </c>
      <c r="H6" s="81" t="s">
        <v>141</v>
      </c>
      <c r="I6" s="80" t="s">
        <v>123</v>
      </c>
      <c r="J6" s="80" t="s">
        <v>123</v>
      </c>
      <c r="K6" s="80" t="s">
        <v>123</v>
      </c>
      <c r="L6" s="80" t="s">
        <v>123</v>
      </c>
      <c r="M6" s="80" t="s">
        <v>123</v>
      </c>
      <c r="N6" s="80" t="s">
        <v>123</v>
      </c>
      <c r="O6" s="81" t="s">
        <v>141</v>
      </c>
      <c r="P6" s="81" t="s">
        <v>141</v>
      </c>
    </row>
    <row r="7" spans="1:16" ht="24.95" customHeight="1">
      <c r="A7" s="79" t="s">
        <v>142</v>
      </c>
      <c r="B7" s="80" t="s">
        <v>123</v>
      </c>
      <c r="C7" s="80" t="s">
        <v>123</v>
      </c>
      <c r="D7" s="80" t="s">
        <v>123</v>
      </c>
      <c r="E7" s="80" t="s">
        <v>123</v>
      </c>
      <c r="F7" s="80" t="s">
        <v>123</v>
      </c>
      <c r="G7" s="84" t="s">
        <v>123</v>
      </c>
      <c r="H7" s="84" t="s">
        <v>123</v>
      </c>
      <c r="I7" s="80" t="s">
        <v>123</v>
      </c>
      <c r="J7" s="80" t="s">
        <v>123</v>
      </c>
      <c r="K7" s="80" t="s">
        <v>123</v>
      </c>
      <c r="L7" s="80" t="s">
        <v>123</v>
      </c>
      <c r="M7" s="80" t="s">
        <v>123</v>
      </c>
      <c r="N7" s="80" t="s">
        <v>123</v>
      </c>
      <c r="O7" s="84" t="s">
        <v>123</v>
      </c>
      <c r="P7" s="84" t="s">
        <v>123</v>
      </c>
    </row>
    <row r="8" spans="1:16" ht="24.95" customHeight="1">
      <c r="A8" s="79" t="s">
        <v>136</v>
      </c>
      <c r="B8" s="80" t="s">
        <v>123</v>
      </c>
      <c r="C8" s="80" t="s">
        <v>123</v>
      </c>
      <c r="D8" s="80" t="s">
        <v>123</v>
      </c>
      <c r="E8" s="80" t="s">
        <v>123</v>
      </c>
      <c r="F8" s="80" t="s">
        <v>123</v>
      </c>
      <c r="G8" s="84" t="s">
        <v>123</v>
      </c>
      <c r="H8" s="84" t="s">
        <v>123</v>
      </c>
      <c r="I8" s="80" t="s">
        <v>123</v>
      </c>
      <c r="J8" s="80" t="s">
        <v>123</v>
      </c>
      <c r="K8" s="80" t="s">
        <v>123</v>
      </c>
      <c r="L8" s="80" t="s">
        <v>123</v>
      </c>
      <c r="M8" s="80" t="s">
        <v>123</v>
      </c>
      <c r="N8" s="80" t="s">
        <v>123</v>
      </c>
      <c r="O8" s="84" t="s">
        <v>123</v>
      </c>
      <c r="P8" s="84" t="s">
        <v>123</v>
      </c>
    </row>
    <row r="9" spans="1:16" ht="24.95" customHeight="1">
      <c r="A9" s="79" t="s">
        <v>137</v>
      </c>
      <c r="B9" s="80" t="s">
        <v>123</v>
      </c>
      <c r="C9" s="80" t="s">
        <v>123</v>
      </c>
      <c r="D9" s="80" t="s">
        <v>123</v>
      </c>
      <c r="E9" s="80" t="s">
        <v>123</v>
      </c>
      <c r="F9" s="80" t="s">
        <v>123</v>
      </c>
      <c r="G9" s="81" t="s">
        <v>141</v>
      </c>
      <c r="H9" s="81" t="s">
        <v>141</v>
      </c>
      <c r="I9" s="80" t="s">
        <v>123</v>
      </c>
      <c r="J9" s="80" t="s">
        <v>123</v>
      </c>
      <c r="K9" s="80" t="s">
        <v>123</v>
      </c>
      <c r="L9" s="80" t="s">
        <v>123</v>
      </c>
      <c r="M9" s="80" t="s">
        <v>123</v>
      </c>
      <c r="N9" s="80" t="s">
        <v>123</v>
      </c>
      <c r="O9" s="81" t="s">
        <v>141</v>
      </c>
      <c r="P9" s="81" t="s">
        <v>141</v>
      </c>
    </row>
    <row r="10" spans="1:16" ht="24.95" customHeight="1">
      <c r="A10" s="79" t="s">
        <v>138</v>
      </c>
      <c r="B10" s="80" t="s">
        <v>123</v>
      </c>
      <c r="C10" s="80" t="s">
        <v>123</v>
      </c>
      <c r="D10" s="80" t="s">
        <v>123</v>
      </c>
      <c r="E10" s="80" t="s">
        <v>123</v>
      </c>
      <c r="F10" s="80" t="s">
        <v>123</v>
      </c>
      <c r="G10" s="84" t="s">
        <v>123</v>
      </c>
      <c r="H10" s="81" t="s">
        <v>141</v>
      </c>
      <c r="I10" s="80" t="s">
        <v>123</v>
      </c>
      <c r="J10" s="80" t="s">
        <v>123</v>
      </c>
      <c r="K10" s="80" t="s">
        <v>123</v>
      </c>
      <c r="L10" s="80" t="s">
        <v>123</v>
      </c>
      <c r="M10" s="80" t="s">
        <v>123</v>
      </c>
      <c r="N10" s="80" t="s">
        <v>123</v>
      </c>
      <c r="O10" s="81" t="s">
        <v>141</v>
      </c>
      <c r="P10" s="81" t="s">
        <v>141</v>
      </c>
    </row>
    <row r="11" spans="1:16" ht="24.95" customHeight="1">
      <c r="A11" s="79" t="s">
        <v>124</v>
      </c>
      <c r="B11" s="80" t="s">
        <v>123</v>
      </c>
      <c r="C11" s="80" t="s">
        <v>123</v>
      </c>
      <c r="D11" s="80" t="s">
        <v>123</v>
      </c>
      <c r="E11" s="80" t="s">
        <v>123</v>
      </c>
      <c r="F11" s="80" t="s">
        <v>123</v>
      </c>
      <c r="G11" s="81" t="s">
        <v>141</v>
      </c>
      <c r="H11" s="81" t="s">
        <v>141</v>
      </c>
      <c r="I11" s="80" t="s">
        <v>123</v>
      </c>
      <c r="J11" s="80" t="s">
        <v>123</v>
      </c>
      <c r="K11" s="80" t="s">
        <v>123</v>
      </c>
      <c r="L11" s="80" t="s">
        <v>123</v>
      </c>
      <c r="M11" s="80" t="s">
        <v>123</v>
      </c>
      <c r="N11" s="80" t="s">
        <v>123</v>
      </c>
      <c r="O11" s="81" t="s">
        <v>141</v>
      </c>
      <c r="P11" s="81" t="s">
        <v>141</v>
      </c>
    </row>
    <row r="12" spans="1:16" ht="24.95" customHeight="1">
      <c r="A12" s="79" t="s">
        <v>126</v>
      </c>
      <c r="B12" s="80" t="s">
        <v>123</v>
      </c>
      <c r="C12" s="80" t="s">
        <v>123</v>
      </c>
      <c r="D12" s="80" t="s">
        <v>123</v>
      </c>
      <c r="E12" s="80" t="s">
        <v>123</v>
      </c>
      <c r="F12" s="80" t="s">
        <v>123</v>
      </c>
      <c r="G12" s="81" t="s">
        <v>141</v>
      </c>
      <c r="H12" s="81" t="s">
        <v>141</v>
      </c>
      <c r="I12" s="80" t="s">
        <v>123</v>
      </c>
      <c r="J12" s="80" t="s">
        <v>123</v>
      </c>
      <c r="K12" s="80" t="s">
        <v>123</v>
      </c>
      <c r="L12" s="80" t="s">
        <v>123</v>
      </c>
      <c r="M12" s="80" t="s">
        <v>123</v>
      </c>
      <c r="N12" s="80" t="s">
        <v>123</v>
      </c>
      <c r="O12" s="81" t="s">
        <v>141</v>
      </c>
      <c r="P12" s="81" t="s">
        <v>141</v>
      </c>
    </row>
    <row r="13" spans="1:16" ht="24.95" customHeight="1">
      <c r="A13" s="79" t="s">
        <v>128</v>
      </c>
      <c r="B13" s="80" t="s">
        <v>123</v>
      </c>
      <c r="C13" s="80" t="s">
        <v>123</v>
      </c>
      <c r="D13" s="80" t="s">
        <v>123</v>
      </c>
      <c r="E13" s="80" t="s">
        <v>123</v>
      </c>
      <c r="F13" s="80" t="s">
        <v>123</v>
      </c>
      <c r="G13" s="81" t="s">
        <v>141</v>
      </c>
      <c r="H13" s="81" t="s">
        <v>141</v>
      </c>
      <c r="I13" s="80" t="s">
        <v>123</v>
      </c>
      <c r="J13" s="80" t="s">
        <v>123</v>
      </c>
      <c r="K13" s="80" t="s">
        <v>123</v>
      </c>
      <c r="L13" s="80" t="s">
        <v>123</v>
      </c>
      <c r="M13" s="80" t="s">
        <v>123</v>
      </c>
      <c r="N13" s="80" t="s">
        <v>123</v>
      </c>
      <c r="O13" s="81" t="s">
        <v>141</v>
      </c>
      <c r="P13" s="81" t="s">
        <v>141</v>
      </c>
    </row>
    <row r="14" spans="1:16" ht="24.95" customHeight="1">
      <c r="A14" s="79" t="s">
        <v>130</v>
      </c>
      <c r="B14" s="80" t="s">
        <v>123</v>
      </c>
      <c r="C14" s="80" t="s">
        <v>123</v>
      </c>
      <c r="D14" s="80" t="s">
        <v>123</v>
      </c>
      <c r="E14" s="80" t="s">
        <v>123</v>
      </c>
      <c r="F14" s="80" t="s">
        <v>123</v>
      </c>
      <c r="G14" s="84" t="s">
        <v>123</v>
      </c>
      <c r="H14" s="81" t="s">
        <v>141</v>
      </c>
      <c r="I14" s="80" t="s">
        <v>123</v>
      </c>
      <c r="J14" s="80" t="s">
        <v>123</v>
      </c>
      <c r="K14" s="80" t="s">
        <v>123</v>
      </c>
      <c r="L14" s="80" t="s">
        <v>123</v>
      </c>
      <c r="M14" s="80" t="s">
        <v>123</v>
      </c>
      <c r="N14" s="80" t="s">
        <v>123</v>
      </c>
      <c r="O14" s="81" t="s">
        <v>141</v>
      </c>
      <c r="P14" s="81" t="s">
        <v>141</v>
      </c>
    </row>
    <row r="15" spans="1:16" ht="24.95" customHeight="1">
      <c r="A15" s="79" t="s">
        <v>132</v>
      </c>
      <c r="B15" s="80" t="s">
        <v>123</v>
      </c>
      <c r="C15" s="80" t="s">
        <v>123</v>
      </c>
      <c r="D15" s="80" t="s">
        <v>123</v>
      </c>
      <c r="E15" s="80" t="s">
        <v>123</v>
      </c>
      <c r="F15" s="80" t="s">
        <v>123</v>
      </c>
      <c r="G15" s="84" t="s">
        <v>123</v>
      </c>
      <c r="H15" s="84" t="s">
        <v>123</v>
      </c>
      <c r="I15" s="80" t="s">
        <v>123</v>
      </c>
      <c r="J15" s="80" t="s">
        <v>123</v>
      </c>
      <c r="K15" s="80" t="s">
        <v>123</v>
      </c>
      <c r="L15" s="80" t="s">
        <v>123</v>
      </c>
      <c r="M15" s="80" t="s">
        <v>123</v>
      </c>
      <c r="N15" s="80" t="s">
        <v>123</v>
      </c>
      <c r="O15" s="84" t="s">
        <v>123</v>
      </c>
      <c r="P15" s="84" t="s">
        <v>123</v>
      </c>
    </row>
    <row r="16" spans="1:16" ht="24.95" customHeight="1">
      <c r="A16" s="79" t="s">
        <v>135</v>
      </c>
      <c r="B16" s="80" t="s">
        <v>123</v>
      </c>
      <c r="C16" s="80" t="s">
        <v>123</v>
      </c>
      <c r="D16" s="80" t="s">
        <v>123</v>
      </c>
      <c r="E16" s="80" t="s">
        <v>123</v>
      </c>
      <c r="F16" s="80" t="s">
        <v>123</v>
      </c>
      <c r="G16" s="84" t="s">
        <v>123</v>
      </c>
      <c r="H16" s="84" t="s">
        <v>123</v>
      </c>
      <c r="I16" s="80" t="s">
        <v>123</v>
      </c>
      <c r="J16" s="80" t="s">
        <v>123</v>
      </c>
      <c r="K16" s="80" t="s">
        <v>123</v>
      </c>
      <c r="L16" s="80" t="s">
        <v>123</v>
      </c>
      <c r="M16" s="80" t="s">
        <v>123</v>
      </c>
      <c r="N16" s="80" t="s">
        <v>123</v>
      </c>
      <c r="O16" s="84" t="s">
        <v>123</v>
      </c>
      <c r="P16" s="84" t="s">
        <v>123</v>
      </c>
    </row>
  </sheetData>
  <sheetProtection sheet="1" objects="1" scenarios="1"/>
  <phoneticPr fontId="3"/>
  <pageMargins left="0.70866141732283472" right="0.70866141732283472" top="0.74803149606299213" bottom="0.74803149606299213" header="0.31496062992125984" footer="0.31496062992125984"/>
  <pageSetup paperSize="9" scale="67" orientation="landscape" r:id="rId1"/>
  <headerFooter>
    <oddHeader>&amp;L補助対象経費等確認・計算書　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補助対象経費等確認・計算書</vt:lpstr>
      <vt:lpstr>高効率給湯器（新設）</vt:lpstr>
      <vt:lpstr>高効率給湯器（交換）</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sakai-y</dc:creator>
  <cp:lastModifiedBy>admin</cp:lastModifiedBy>
  <cp:lastPrinted>2024-03-19T02:26:39Z</cp:lastPrinted>
  <dcterms:created xsi:type="dcterms:W3CDTF">2023-09-26T16:26:06Z</dcterms:created>
  <dcterms:modified xsi:type="dcterms:W3CDTF">2025-05-08T05:24:16Z</dcterms:modified>
</cp:coreProperties>
</file>